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340" windowHeight="6165" firstSheet="2" activeTab="6"/>
  </bookViews>
  <sheets>
    <sheet name="กระดาษทำการงบทดลอง" sheetId="1" r:id="rId1"/>
    <sheet name="ประกอบกระดาษทำการ1" sheetId="2" r:id="rId2"/>
    <sheet name="ประกอบกระดาษทำการ2" sheetId="3" r:id="rId3"/>
    <sheet name="งบทดลอง(ก่อนปิด)" sheetId="4" r:id="rId4"/>
    <sheet name="งบทดลอง(หลังปิด" sheetId="5" r:id="rId5"/>
    <sheet name="งบแสดงฐานะอบต." sheetId="6" r:id="rId6"/>
    <sheet name="งบทรัพย์สิน(ม.1)" sheetId="7" r:id="rId7"/>
    <sheet name="เงินสด(ม.2,3)" sheetId="8" r:id="rId8"/>
    <sheet name="ลูกหนี้เศรษฐกิจ" sheetId="9" r:id="rId9"/>
    <sheet name="ประกันสัญญา" sheetId="10" r:id="rId10"/>
    <sheet name="เงินรอคืนจังหวัด" sheetId="11" r:id="rId11"/>
    <sheet name="รายจ่ายค้างจ่าย" sheetId="12" r:id="rId12"/>
    <sheet name="รายจ่ายรอจ่าย" sheetId="13" r:id="rId13"/>
    <sheet name="รายจ่ายผัดส่งใบสำคัญ" sheetId="14" r:id="rId14"/>
    <sheet name="งบเงินสะสม7" sheetId="15" r:id="rId15"/>
    <sheet name="รับเพิ่มเงินสะสม5.1" sheetId="16" r:id="rId16"/>
    <sheet name="เงินสะสม5.2" sheetId="17" r:id="rId17"/>
    <sheet name="เงินสะสม" sheetId="18" r:id="rId18"/>
    <sheet name="งบดำเนินงาน " sheetId="19" r:id="rId19"/>
    <sheet name="หมายเหตุดำเนินงาน1" sheetId="20" r:id="rId20"/>
    <sheet name="รายการปรับปรุง" sheetId="21" r:id="rId21"/>
    <sheet name="ใบผ่าน" sheetId="22" r:id="rId22"/>
  </sheets>
  <externalReferences>
    <externalReference r:id="rId25"/>
    <externalReference r:id="rId26"/>
  </externalReferences>
  <definedNames>
    <definedName name="_xlnm.Print_Titles" localSheetId="0">'กระดาษทำการงบทดลอง'!$4:$6</definedName>
    <definedName name="_xlnm.Print_Titles" localSheetId="4">'งบทดลอง(หลังปิด'!$5:$5</definedName>
    <definedName name="_xlnm.Print_Titles" localSheetId="6">'งบทรัพย์สิน(ม.1)'!$6:$7</definedName>
  </definedNames>
  <calcPr fullCalcOnLoad="1"/>
</workbook>
</file>

<file path=xl/sharedStrings.xml><?xml version="1.0" encoding="utf-8"?>
<sst xmlns="http://schemas.openxmlformats.org/spreadsheetml/2006/main" count="2204" uniqueCount="780">
  <si>
    <t>รวม</t>
  </si>
  <si>
    <t>งบแสดงฐานะการเงิน</t>
  </si>
  <si>
    <t>หนี้สินและเงินสะสม</t>
  </si>
  <si>
    <t>งบทรัพย์สิน</t>
  </si>
  <si>
    <t>ประเภททรัพย์สิน</t>
  </si>
  <si>
    <t>ราคาทรัพย์สิน</t>
  </si>
  <si>
    <t>ก.</t>
  </si>
  <si>
    <t>ข.</t>
  </si>
  <si>
    <t>อสังหาริมทรัพย์</t>
  </si>
  <si>
    <t>สังหาริมทรัพย์</t>
  </si>
  <si>
    <t>เงินฝากธนาคาร</t>
  </si>
  <si>
    <t>งบเงินสะสม</t>
  </si>
  <si>
    <t>บวก</t>
  </si>
  <si>
    <t>รวมทั้งสิ้น</t>
  </si>
  <si>
    <t>หมายเหตุ   ประกอบงบแสดงฐานะการเงิน</t>
  </si>
  <si>
    <t>ก่อหนี้ผูกพัน</t>
  </si>
  <si>
    <t>เบิกจ่ายแล้ว</t>
  </si>
  <si>
    <t>หมายเหตุ</t>
  </si>
  <si>
    <t>รายจ่ายค้างจ่าย</t>
  </si>
  <si>
    <t>จำนวนเงิน</t>
  </si>
  <si>
    <t>คงเหลือ</t>
  </si>
  <si>
    <t>หัก</t>
  </si>
  <si>
    <t>ประมาณการ</t>
  </si>
  <si>
    <t>งบกลาง</t>
  </si>
  <si>
    <t>1</t>
  </si>
  <si>
    <t>2</t>
  </si>
  <si>
    <t>3</t>
  </si>
  <si>
    <t>เครื่องมือเครื่องใช้และอุปกรณ์</t>
  </si>
  <si>
    <t>รายรับจริงสูงกว่ารายจ่ายจริง</t>
  </si>
  <si>
    <t>รายรับจริงสูงกว่ารายจ่ายจริงหลังหักเงินทุนสำรองเงินสะสม</t>
  </si>
  <si>
    <t>ค่าใช้จ่ายในการจัดเก็บภาษีบำรุงท้องที่  5%</t>
  </si>
  <si>
    <t>ค่าที่ดินและสิ่งก่อสร้าง</t>
  </si>
  <si>
    <t>เครื่องยนต์และยานพาหนะ</t>
  </si>
  <si>
    <t>เงินทุนสำรองเงินสะสม</t>
  </si>
  <si>
    <t>ลำดับที่</t>
  </si>
  <si>
    <t>รายการ</t>
  </si>
  <si>
    <t>การศึกษา</t>
  </si>
  <si>
    <t>สาธารณสุข</t>
  </si>
  <si>
    <t>รายจ่าย</t>
  </si>
  <si>
    <t>รวมรายจ่าย</t>
  </si>
  <si>
    <t>รายรับ</t>
  </si>
  <si>
    <t>รวมรายรับ</t>
  </si>
  <si>
    <t>ค่าวัสดุ</t>
  </si>
  <si>
    <t>ค่าครุภัณฑ์</t>
  </si>
  <si>
    <t>เครื่องใช้สำนักงาน</t>
  </si>
  <si>
    <t>ออมสิน</t>
  </si>
  <si>
    <t>ธนาคารเพื่อการเกษตรและสหกรณ์การเกษตร</t>
  </si>
  <si>
    <t>เงินประกันสัญญา</t>
  </si>
  <si>
    <t>กระดาษทำการงบทดลอง</t>
  </si>
  <si>
    <t>งบทดลองก่อนปรับปรุง</t>
  </si>
  <si>
    <t>เดบิต</t>
  </si>
  <si>
    <t>เครดิต</t>
  </si>
  <si>
    <t>เงินสด</t>
  </si>
  <si>
    <t>เงินสะสม</t>
  </si>
  <si>
    <t>ค่าตอบแทน</t>
  </si>
  <si>
    <t>ค่าใช้สอย</t>
  </si>
  <si>
    <t>ค่าสาธารณูปโภค</t>
  </si>
  <si>
    <t>เงินอุดหนุน</t>
  </si>
  <si>
    <t xml:space="preserve">                    รวม</t>
  </si>
  <si>
    <t>ภาษีหัก ณ ที่จ่าย</t>
  </si>
  <si>
    <t>วัน/เดือน/ปี</t>
  </si>
  <si>
    <t>รายการปรับปรุง</t>
  </si>
  <si>
    <t>หน้า บ/ช</t>
  </si>
  <si>
    <t>รายการปิดบัญชี</t>
  </si>
  <si>
    <t>4</t>
  </si>
  <si>
    <t>5</t>
  </si>
  <si>
    <t>6</t>
  </si>
  <si>
    <t>หมายเหตุ 1</t>
  </si>
  <si>
    <t>รับ - จ่ายระหว่างปี</t>
  </si>
  <si>
    <t>รายละเอียด  2</t>
  </si>
  <si>
    <t>รายละเอียด  3</t>
  </si>
  <si>
    <t>รั้ว</t>
  </si>
  <si>
    <t>ป้าย</t>
  </si>
  <si>
    <t>ที่มา : งบทดลองก่อนปิดบัญชี</t>
  </si>
  <si>
    <t>งบทดลอง (หลังปิดบัญชี)</t>
  </si>
  <si>
    <t>งบทดลอง (ก่อนปิดบัญชี)</t>
  </si>
  <si>
    <t>การเกษตร</t>
  </si>
  <si>
    <t>รายละเอียด  4</t>
  </si>
  <si>
    <t>ไม่ก่อหนี้ผูกพัน</t>
  </si>
  <si>
    <t xml:space="preserve">เดบิต </t>
  </si>
  <si>
    <t>ลูกหนี้ - ภาษีบำรุงท้องที่</t>
  </si>
  <si>
    <t>รหัส</t>
  </si>
  <si>
    <t>บัญชี</t>
  </si>
  <si>
    <t>ลูกหนี้-เงินยืมเงินงบประมาณ</t>
  </si>
  <si>
    <t>รายจ่ายงบกลาง</t>
  </si>
  <si>
    <t>รายรับ (หมายเหตุ 1)</t>
  </si>
  <si>
    <t>เงินรับฝาก (หมายเหตุ 2)</t>
  </si>
  <si>
    <t>งบทดลอง(หลังปรับปรุง)</t>
  </si>
  <si>
    <t>งบทดลอง(ก่อนปรับปรุง)</t>
  </si>
  <si>
    <t>งบทดลองหลังปิดบัญชี</t>
  </si>
  <si>
    <t>ก่อนปิดบัญชี</t>
  </si>
  <si>
    <t>2. ลูกหนี้-ภาษีบำรุงท้องที่</t>
  </si>
  <si>
    <t xml:space="preserve">เงินรับฝากต่างๆ </t>
  </si>
  <si>
    <t>เลขที่บัญชี</t>
  </si>
  <si>
    <t>กรุงไทย</t>
  </si>
  <si>
    <t>ออมทรัพย์</t>
  </si>
  <si>
    <t>ประจำ</t>
  </si>
  <si>
    <t>อำเภอหนองกี่   จังหวัดบุรีรัมย์</t>
  </si>
  <si>
    <t>หมวด/ประเภท</t>
  </si>
  <si>
    <t>.</t>
  </si>
  <si>
    <t>รับเพิ่มเงินสะสมระหว่างงวด</t>
  </si>
  <si>
    <t>(1) หายอดเงินสะสมจากงบแสดงฐานะการเงิน</t>
  </si>
  <si>
    <t>(ปรากฎตามงบแสดงฐานะการเงิน)</t>
  </si>
  <si>
    <t>ยอดเงินสะสมที่นำไปใช้ได้</t>
  </si>
  <si>
    <t xml:space="preserve">       บัญชีเงินรับฝากต่าง ๆ </t>
  </si>
  <si>
    <t xml:space="preserve">       ทุนสำรองเงินสะสม</t>
  </si>
  <si>
    <t>(2)  พิสูจน์ยอดเงินสะสมจากบัญชีเงินสด  เงินฝากธนาคาร</t>
  </si>
  <si>
    <t>บริหารงาน</t>
  </si>
  <si>
    <t>รักษา</t>
  </si>
  <si>
    <t>สังคม</t>
  </si>
  <si>
    <t>สร้างความ</t>
  </si>
  <si>
    <t>การศาสนา</t>
  </si>
  <si>
    <t>ทั่วไป</t>
  </si>
  <si>
    <t>ความสงบ ฯ</t>
  </si>
  <si>
    <t>สงเคราะห์</t>
  </si>
  <si>
    <t>เข้มแข็ง ฯ</t>
  </si>
  <si>
    <t>วัฒนธรรมฯ</t>
  </si>
  <si>
    <t>แต่ละแผน</t>
  </si>
  <si>
    <t xml:space="preserve">     ค่าสาธารณูปโภค</t>
  </si>
  <si>
    <t xml:space="preserve">     รายจ่ายอื่น  </t>
  </si>
  <si>
    <t xml:space="preserve">     ภาษีอากร</t>
  </si>
  <si>
    <t xml:space="preserve">     ค่าธรรมเนียมค่าปรับฯ</t>
  </si>
  <si>
    <t xml:space="preserve">     รายได้จากทรัพย์สิน</t>
  </si>
  <si>
    <t xml:space="preserve">     รายได้จากสาธารณูปโภค</t>
  </si>
  <si>
    <t xml:space="preserve">     รายได้เบ็ดเตล็ด</t>
  </si>
  <si>
    <t xml:space="preserve">     รายได้จากทุน</t>
  </si>
  <si>
    <t xml:space="preserve">     รัฐบาลจัดสรรให้</t>
  </si>
  <si>
    <t xml:space="preserve">     เงินอุดหนุนทั่วไป</t>
  </si>
  <si>
    <t xml:space="preserve">     เงินอุดหนุนเฉพาะกิจ</t>
  </si>
  <si>
    <t>รายละเอียด 1</t>
  </si>
  <si>
    <t xml:space="preserve"> </t>
  </si>
  <si>
    <t xml:space="preserve">     รายรับสูงกว่ารายจ่าย</t>
  </si>
  <si>
    <t>รายรับจริงประกอบงบทดลองและรายรับ-จ่ายเงินสด</t>
  </si>
  <si>
    <t>รหัสบัญชี</t>
  </si>
  <si>
    <t>รวมเดือนนี้</t>
  </si>
  <si>
    <t>รวมตั้งแต่ต้นปี</t>
  </si>
  <si>
    <t>1. ภาษีโรงเรือนและที่ดิน</t>
  </si>
  <si>
    <t>2. ภาษีบำรุงท้องที่</t>
  </si>
  <si>
    <t>3. ภาษีป้าย</t>
  </si>
  <si>
    <t>4. อากรการฆ่าสัตว์</t>
  </si>
  <si>
    <t>ข. หมวดค่าธรรมเนียม ค่าปรับ และใบอนุญาต</t>
  </si>
  <si>
    <t>1. ค่าธรรมเนียมเกี่ยวกับควบคุมการฆ่าสัตว์ฯ</t>
  </si>
  <si>
    <t>ค. หมวดรายได้จากทรัพย์สิน</t>
  </si>
  <si>
    <t>1. ดอกเบี้ย</t>
  </si>
  <si>
    <t>ง.  หมวดรายได้เบ็ดเตล็ด</t>
  </si>
  <si>
    <t>1. เงินที่มีผู้อุทิศให้</t>
  </si>
  <si>
    <t>2. ค่าขายแบบแปลน</t>
  </si>
  <si>
    <t>3. ค่าจำหน่ายแบบพิมพ์ และคำร้อง</t>
  </si>
  <si>
    <t>จ. รายได้จากทุน</t>
  </si>
  <si>
    <t>1.  ค่าขายทอดตลาดทรัพย์สิน</t>
  </si>
  <si>
    <t>ฉ. รายได้จากสาธารณูปโภคและการพาณิชย์</t>
  </si>
  <si>
    <t>1. รายได้จากสาธาณูปโภคฯ(ค่าน้ำประปา)</t>
  </si>
  <si>
    <t>2.  รายได้ที่รัฐจัดเก็บให้</t>
  </si>
  <si>
    <t>ก.  หมวดภาษีจัดสรร</t>
  </si>
  <si>
    <t>ข.  หมวดเงินอุดหนุน</t>
  </si>
  <si>
    <t>1.เงินอุดหนุนทั่วไป</t>
  </si>
  <si>
    <t>รวมรายได้ที่จัดเก็บเอง และรัฐจัดสรรให้</t>
  </si>
  <si>
    <t>1.เงินรับฝาก-ภาษีหัก ณ ที่จ่าย</t>
  </si>
  <si>
    <t>0</t>
  </si>
  <si>
    <t>2.เงินรับฝาก-เงินประกันสัญญา</t>
  </si>
  <si>
    <t>5.เงินรับฝาก-เงินทุนเศรษฐกิจชุมชน</t>
  </si>
  <si>
    <t>รวมรายรับทั้งสิ้น</t>
  </si>
  <si>
    <t>หมายเหตุ  2</t>
  </si>
  <si>
    <t xml:space="preserve">เงินรับฝาก  </t>
  </si>
  <si>
    <t>รับเดือนนี้</t>
  </si>
  <si>
    <t>รวมรับทั้งปี</t>
  </si>
  <si>
    <t>จ่ายเดือนนี้</t>
  </si>
  <si>
    <t>รวมจ่ายทั้งปี</t>
  </si>
  <si>
    <t>เงินรับฝาก  - ภาษีหัก ณ ที่จ่าย</t>
  </si>
  <si>
    <t>เงินรับฝาก  - เงินประกันสัญญา</t>
  </si>
  <si>
    <t>องค์การบริหารส่วนตำบลหนองกี่  อำเภอหนองกี่  จังหวัดบุรีรัมย์</t>
  </si>
  <si>
    <t>หมายเหตุ  2  ประกอบรายงานรับ  -  จ่ายเงินสด</t>
  </si>
  <si>
    <t xml:space="preserve">  30  พฤศจิกายน   2547</t>
  </si>
  <si>
    <t>เงินรับฝาก  (รายจ่าย)</t>
  </si>
  <si>
    <t>เงินรับฝาก  -  เงินประกันซอง</t>
  </si>
  <si>
    <t>เงินรับฝาก  -    ค่าใช้จ่าย ภบท.  5 %</t>
  </si>
  <si>
    <t>เงินรับฝาก  -    เงินส่วนลด ภบท.  6 %</t>
  </si>
  <si>
    <t>เงินรับฝาก  -    ดอกเบี้ยโครงการถ่ายโอน</t>
  </si>
  <si>
    <t xml:space="preserve">  31  มกราคม   2548</t>
  </si>
  <si>
    <t xml:space="preserve">  28  กุมภาพันธ์   2548</t>
  </si>
  <si>
    <t xml:space="preserve">  31 มีนาคม   2548</t>
  </si>
  <si>
    <t xml:space="preserve">  30 เมษายน  2548</t>
  </si>
  <si>
    <t xml:space="preserve">  30 กันยายน  2548</t>
  </si>
  <si>
    <t>เงินรับฝาก  - เงินประกันสังคม</t>
  </si>
  <si>
    <t>ข.  ในการสาธารณสุข</t>
  </si>
  <si>
    <t>วดป.ที่รับเงิน</t>
  </si>
  <si>
    <t>รับจากใคร</t>
  </si>
  <si>
    <t>กำหนดจ่ายคืน</t>
  </si>
  <si>
    <t>หจก.หนองกี่ยิ่งเจริญก่อสร้าง</t>
  </si>
  <si>
    <t>หน้า 1</t>
  </si>
  <si>
    <t>1)</t>
  </si>
  <si>
    <t>2)</t>
  </si>
  <si>
    <t>3)</t>
  </si>
  <si>
    <t>4)</t>
  </si>
  <si>
    <t>5)</t>
  </si>
  <si>
    <t>6)</t>
  </si>
  <si>
    <t>7)</t>
  </si>
  <si>
    <t>8)</t>
  </si>
  <si>
    <t>ใบผ่านรายการบัญชีทั่วไป</t>
  </si>
  <si>
    <t>งบแสดงผลการดำเนินงานจ่ายจากเงินรายรับ</t>
  </si>
  <si>
    <t>...........................................  ผู้จัดทำ</t>
  </si>
  <si>
    <t xml:space="preserve">  นักวิชาการเงินและบัญชี</t>
  </si>
  <si>
    <t>ฉ.  ในการศึกษา</t>
  </si>
  <si>
    <t>ลูกหนี้-เงินทุนเศรษฐกิจชุมชน</t>
  </si>
  <si>
    <t>เงินรับฝาก-เงินทุนเศรษฐกิจชุมชน</t>
  </si>
  <si>
    <t>บันทึกลูกหนี้เงินทุนเศรฐกิจชุมชน</t>
  </si>
  <si>
    <t>ลูกหนี้  - เงินทุนเศรษฐกิจชุมชน</t>
  </si>
  <si>
    <t>เงินนอกงบประมาณ-เงินทุนเศรษฐกิจชุมชน</t>
  </si>
  <si>
    <t>อาคาร</t>
  </si>
  <si>
    <t>โรงฝึกงาน</t>
  </si>
  <si>
    <t>โรงจอดรถ</t>
  </si>
  <si>
    <t>หอถังสูงประปา</t>
  </si>
  <si>
    <t>ก.  ในการโยธา</t>
  </si>
  <si>
    <t>ค.  ในการประชาสัมพันธ์</t>
  </si>
  <si>
    <t>ง.  ในการกีฬา</t>
  </si>
  <si>
    <t>จ.  ในการพยาบาล</t>
  </si>
  <si>
    <t>องค์การบริหารส่วนตำบลทุ่งกระตาดพัฒนา</t>
  </si>
  <si>
    <t xml:space="preserve">องค์การบริหารส่วนตำบลทุ่งกระตาดพัฒนา  </t>
  </si>
  <si>
    <t>องค์การบริหารส่วนตำบลทุ่งกระตาดพัฒนา  อำเภอหนองกี่  จังหวัดบุรีรัมย์</t>
  </si>
  <si>
    <t xml:space="preserve"> (นางสาวเพชรรัช  สุตลาวดี)</t>
  </si>
  <si>
    <t>411001</t>
  </si>
  <si>
    <t>411002</t>
  </si>
  <si>
    <t>411003</t>
  </si>
  <si>
    <t>411004</t>
  </si>
  <si>
    <t>412000</t>
  </si>
  <si>
    <t>412101</t>
  </si>
  <si>
    <t>412103</t>
  </si>
  <si>
    <t>412104</t>
  </si>
  <si>
    <t>412128</t>
  </si>
  <si>
    <t>412129</t>
  </si>
  <si>
    <t>412202</t>
  </si>
  <si>
    <t>412207</t>
  </si>
  <si>
    <t>412111</t>
  </si>
  <si>
    <t>412303</t>
  </si>
  <si>
    <t>413000</t>
  </si>
  <si>
    <t>413003</t>
  </si>
  <si>
    <t>415000</t>
  </si>
  <si>
    <t>415003</t>
  </si>
  <si>
    <t>415004</t>
  </si>
  <si>
    <t>415006</t>
  </si>
  <si>
    <t>4.  ค่ารับรองสำเนาและถ่ายเอกสาร</t>
  </si>
  <si>
    <t>415007</t>
  </si>
  <si>
    <t>415999</t>
  </si>
  <si>
    <t>416000</t>
  </si>
  <si>
    <t>416001</t>
  </si>
  <si>
    <t>414000</t>
  </si>
  <si>
    <t>414006</t>
  </si>
  <si>
    <t>421000</t>
  </si>
  <si>
    <t>421002</t>
  </si>
  <si>
    <t>421004</t>
  </si>
  <si>
    <t>421005</t>
  </si>
  <si>
    <t>421006</t>
  </si>
  <si>
    <t>421007</t>
  </si>
  <si>
    <t>421012</t>
  </si>
  <si>
    <t>421013</t>
  </si>
  <si>
    <t>421001</t>
  </si>
  <si>
    <t>ยอดยกมาต้นปี</t>
  </si>
  <si>
    <t>3.เงินรับฝาก-ค่าใช้จ่าย ภบท.5%</t>
  </si>
  <si>
    <t>4.  เงินรับฝาก  -  ส่วนลดภบท. 6%</t>
  </si>
  <si>
    <t>เงินฝากธนาคารกรุงไทย -ออมทรัพย์  373-0-37262-9</t>
  </si>
  <si>
    <t>เงินฝากธนาคารออมสิน - ประจำ  06-4908-32-000145-7</t>
  </si>
  <si>
    <t>ลูกหนี้ - ภาษีโรงเรือนและที่ดิน</t>
  </si>
  <si>
    <t>เงินเดือน(ฝ่ายการเมือง)</t>
  </si>
  <si>
    <t>เงินเดือน(ฝ่ายประจำ)</t>
  </si>
  <si>
    <t>รายจ่ายรอจ่าย</t>
  </si>
  <si>
    <t>110201</t>
  </si>
  <si>
    <t>110202</t>
  </si>
  <si>
    <t>110601</t>
  </si>
  <si>
    <t>110602</t>
  </si>
  <si>
    <t>ลูกหนี้-เงินยืมเงินสะสม</t>
  </si>
  <si>
    <t>110606</t>
  </si>
  <si>
    <t>110605</t>
  </si>
  <si>
    <t>510000</t>
  </si>
  <si>
    <t>610000</t>
  </si>
  <si>
    <t>710000</t>
  </si>
  <si>
    <t>521000</t>
  </si>
  <si>
    <t>522000</t>
  </si>
  <si>
    <t>722000</t>
  </si>
  <si>
    <t>531000</t>
  </si>
  <si>
    <t>532000</t>
  </si>
  <si>
    <t>632000</t>
  </si>
  <si>
    <t>533000</t>
  </si>
  <si>
    <t>633000</t>
  </si>
  <si>
    <t>733000</t>
  </si>
  <si>
    <t>534000</t>
  </si>
  <si>
    <t>561000</t>
  </si>
  <si>
    <t>661000</t>
  </si>
  <si>
    <t>641000</t>
  </si>
  <si>
    <t>642000</t>
  </si>
  <si>
    <t>742000</t>
  </si>
  <si>
    <t>210402</t>
  </si>
  <si>
    <t>210500</t>
  </si>
  <si>
    <t>300000</t>
  </si>
  <si>
    <t>320000</t>
  </si>
  <si>
    <t>400000</t>
  </si>
  <si>
    <t>230100</t>
  </si>
  <si>
    <t>30 ก.ย.2555</t>
  </si>
  <si>
    <t>ลูกหนี้-  ภาษีโรงเรือนและที่ดิน</t>
  </si>
  <si>
    <t>เงินรายรับ</t>
  </si>
  <si>
    <t>บันทึกปิดบัญชีลูกหนี้ภาษีโรงเรือนและที่ดิน</t>
  </si>
  <si>
    <t>ลูกหนี้-  ภาษีบำรุงท้องที่</t>
  </si>
  <si>
    <t>บันทึกปิดบัญชีลูกหนี้ภาษีบำรุงท้องที่</t>
  </si>
  <si>
    <t>ลูกหนี้-  ภาษีป้าย</t>
  </si>
  <si>
    <t>บันทึกปิดบัญชีลูกหนี้ภาษีป้าย</t>
  </si>
  <si>
    <t>110603</t>
  </si>
  <si>
    <t>ลูกหนี้-  ภาษีใบอนุญาตที่เป็นอันตรายต่อสุขภาพ</t>
  </si>
  <si>
    <t>บันทึกปิดบัญชีลูกหนี้ภาษีใบอนุญาตที่เป็นอันตรายต่อสุขภาพ</t>
  </si>
  <si>
    <t>110604</t>
  </si>
  <si>
    <t>บันทึกปิดบัญชีรายจ่ายค้างจ่าย</t>
  </si>
  <si>
    <t>บันทึกปิดบัญชีรายจ่ายรอจ่าย</t>
  </si>
  <si>
    <t>นายสมพงษ์  แตงกระโทก</t>
  </si>
  <si>
    <t>นายสมหมาย  บุญประกอบ</t>
  </si>
  <si>
    <t>นายทุ้ย  รุ่งไร่โคก</t>
  </si>
  <si>
    <t>23  กันยายน  2554</t>
  </si>
  <si>
    <t>โครงการก่อสร้างถนนคอนกรีตเสริมเหล็ก  หมู่ที่  10</t>
  </si>
  <si>
    <t>30  กันยายน  2556</t>
  </si>
  <si>
    <t>โครงการก่อสร้างถนนคอนกรีตเสริมเหล็ก  หมู่ที่  12</t>
  </si>
  <si>
    <t>14  ตุลาคม  2556</t>
  </si>
  <si>
    <t>โครงการปรับปรุงภูมิทัศน์อบต.</t>
  </si>
  <si>
    <t>4  พฤศจิกายน 2555</t>
  </si>
  <si>
    <t>27  กันยายน  2554</t>
  </si>
  <si>
    <t>โครงการก่อสร้างถนนคอนกรีตเสริมเหล็ก  หมู่ที่  7</t>
  </si>
  <si>
    <t>4  ตุลาคม  2556</t>
  </si>
  <si>
    <t>หจก.อนุชารุ่งเรืองกิจ</t>
  </si>
  <si>
    <t>17  กันยายน  2555</t>
  </si>
  <si>
    <t>โครงการวางท่อระบายน้ำ ม.7,10</t>
  </si>
  <si>
    <t>(เลขที่ 06-4908-3200145-7)</t>
  </si>
  <si>
    <t>(เลขที่ 373-0-37262-95)</t>
  </si>
  <si>
    <t>ส่วนลดในการจัดเก็บภาษีบำรุงท้องที่  6%</t>
  </si>
  <si>
    <t>ค่าขายแบบ -เงินอุดหนุนเฉพาะกิจ</t>
  </si>
  <si>
    <t>เงินรับฝากอื่นๆ</t>
  </si>
  <si>
    <t>บันทึกเงินรับฝากค่าขายแบบไทยเข้มแข็งงบ 23,000ล้าน)</t>
  </si>
  <si>
    <t>230199</t>
  </si>
  <si>
    <t>27 พฤศจิกายน 2550</t>
  </si>
  <si>
    <t>21 ธันวาคม 2552</t>
  </si>
  <si>
    <t>นายธนิต  ศรีสุริยชัย</t>
  </si>
  <si>
    <t>ร้านโชคบังอร</t>
  </si>
  <si>
    <t>โครงการก่อสร้างซุ้มเฉลิมพระเกียรติพระบาทสมเด็จพระเจ้าอยู่หัว</t>
  </si>
  <si>
    <t>12  ธันวาคม  2552</t>
  </si>
  <si>
    <t>26  ธันวาคม  2553</t>
  </si>
  <si>
    <t>25  กันยายน 2555</t>
  </si>
  <si>
    <t>โครงการซ่อมแซมถนนลงลูกรังภายในอบต.</t>
  </si>
  <si>
    <t>9 ตุลาคม 2557</t>
  </si>
  <si>
    <t>29 กันยายน2556</t>
  </si>
  <si>
    <t>ลูกหนี้ - ภาษีป้าย</t>
  </si>
  <si>
    <t>ลูกหนี้ - ใบอนุญาตที่เป็นอันตรายต่อสุขภาพ</t>
  </si>
  <si>
    <t>รายการปรับปรุงบัญชีรายจ่ายรอจ่าย</t>
  </si>
  <si>
    <t>ยอดยกมา</t>
  </si>
  <si>
    <t>9)</t>
  </si>
  <si>
    <t>ค่าตอบแทน(เงินประโยชน์ตอบแทนอื่น)</t>
  </si>
  <si>
    <t>1. ลูกหนี้-ภาษีโรงเรือนและที่ดิน</t>
  </si>
  <si>
    <t>3. ลูกหนี้-ภาษีป้าย</t>
  </si>
  <si>
    <t>จ่ายขาดเงินสะสม</t>
  </si>
  <si>
    <t xml:space="preserve">       บัญชีลูกหนี้ - ภาษีป้าย</t>
  </si>
  <si>
    <t xml:space="preserve">       บัญชีลูกหนี้ - ใบอนุญาตที่เป็นอันตรายต่อสุขภาพ</t>
  </si>
  <si>
    <t>เลขที่</t>
  </si>
  <si>
    <t xml:space="preserve">                     ใบผ่านรายการบัญชีทั่วไป</t>
  </si>
  <si>
    <t>วันที่</t>
  </si>
  <si>
    <t xml:space="preserve">   รายการ</t>
  </si>
  <si>
    <t>เดบิท</t>
  </si>
  <si>
    <t xml:space="preserve">            ผู้จัดทำ                                      ผู้อนุมัติ</t>
  </si>
  <si>
    <t xml:space="preserve">                      ผู้บันทึกบัญชี</t>
  </si>
  <si>
    <t xml:space="preserve">  (นางสาวเพชรรัช  สุตลาวดี )                      (นางสุพรรณี  คงคา)</t>
  </si>
  <si>
    <t>(นางสาวเพชรรัช  สุตลาวดี )</t>
  </si>
  <si>
    <t xml:space="preserve">       นักวิชาการเงินและบัญชี</t>
  </si>
  <si>
    <t>กอง</t>
  </si>
  <si>
    <r>
      <t>คำอธิบาย</t>
    </r>
    <r>
      <rPr>
        <b/>
        <sz val="16"/>
        <rFont val="TH SarabunPSK"/>
        <family val="2"/>
      </rPr>
      <t xml:space="preserve">  เพื่อบันทึก</t>
    </r>
  </si>
  <si>
    <t xml:space="preserve">   นักวิชาการเงินและบัญชี                                ผอ.กองคลัง</t>
  </si>
  <si>
    <t>เคหะ</t>
  </si>
  <si>
    <t>ชุมชน</t>
  </si>
  <si>
    <t xml:space="preserve">     เงินเดือน (รายละเอียด1)</t>
  </si>
  <si>
    <t xml:space="preserve">     ค่าจ้างชั่วคราว </t>
  </si>
  <si>
    <t xml:space="preserve">     ค่าใช้สอย (รายละเอียด3) </t>
  </si>
  <si>
    <t xml:space="preserve">     เงินอุดหนุน (รายละเอียด5)</t>
  </si>
  <si>
    <t xml:space="preserve">     ค่าครุภัณฑ์ (รายละเอียด7)  </t>
  </si>
  <si>
    <t xml:space="preserve">                       ............................................. นายกองค์การบริหารส่วนตำบลทุ่งกระตาดพัฒนา</t>
  </si>
  <si>
    <t>......................................  ปลัดอบต.</t>
  </si>
  <si>
    <t xml:space="preserve">                         (นายสุชาติ  พันธุ์สัมฤทธิ์)</t>
  </si>
  <si>
    <t xml:space="preserve">   (นายคมสัน  กุลไกรจักร)</t>
  </si>
  <si>
    <t>รายละเอียด   ประกอบงบแสดงผลการดำเนินงาน</t>
  </si>
  <si>
    <t>เงินเดือน    จำนวน    4,961,449.-   บาท ประกอบด้วย</t>
  </si>
  <si>
    <t>1)  จ่ายจากเงินรายได้</t>
  </si>
  <si>
    <t>2)  จ่ายจากเงินอุดหนุนทั่วไป</t>
  </si>
  <si>
    <t>3) จ่ายจากเงินอุดหนุนเฉพาะกิจ</t>
  </si>
  <si>
    <t xml:space="preserve">    (ค่าตอบแทนผู้ดูแลเด็ก)</t>
  </si>
  <si>
    <t>ค่าตอบแทน  จำนวน   1,003,817.50     บาท  ประกอบด้วย</t>
  </si>
  <si>
    <t>1) จ่ายจากเงินรายได้</t>
  </si>
  <si>
    <t>ค่าใช้สอย   จำนวน    1,871,094.60    บาท  ประกอบด้วย</t>
  </si>
  <si>
    <t>ค่าวัสดุ   จำนวน      807,535.94      บาท  ประกอบด้วย</t>
  </si>
  <si>
    <t>3)  จ่ายจากเงินอุดหนุนเฉพาะกิจ (ค่าวัสดุการศึกษา)</t>
  </si>
  <si>
    <t>รายละเอียด  5</t>
  </si>
  <si>
    <t>เงินอุดหนุน     จำนวน    171,000.-     บาท  ประกอบด้วย</t>
  </si>
  <si>
    <t>รายละเอียด  6</t>
  </si>
  <si>
    <t>รายจ่ายงบกลาง  จำนวน  2,491,347.-    บาท   ประกอบด้วย</t>
  </si>
  <si>
    <t>2) จ่ายจากเงินอุดหนุนทั่วไป</t>
  </si>
  <si>
    <t xml:space="preserve">2) จ่ายจากเงินอุดหนุนเฉพาะกิจ </t>
  </si>
  <si>
    <t>*เบี้ยยังชีพผู้สูงอายุ</t>
  </si>
  <si>
    <t>*เบี้ยยังชีพผู้พิการ</t>
  </si>
  <si>
    <t>*เงินสมทบประกันสังคม</t>
  </si>
  <si>
    <t>รายละเอียด 7</t>
  </si>
  <si>
    <t>ค่าครุภัณฑ์    จำนวน  59,194.30  บาท  ประกอบด้วย</t>
  </si>
  <si>
    <t>1) จ่ายจากเงินอุดหนุนทั่วไป</t>
  </si>
  <si>
    <t>รายละเอียด 8</t>
  </si>
  <si>
    <t>ค่าที่ดินและสิ่งก่อสร้าง  จำนวน    3,378,300.-    บาท  ประกอบด้วย</t>
  </si>
  <si>
    <t>ทุนทรัพย์สิน</t>
  </si>
  <si>
    <t xml:space="preserve">        จ่ายขาดเงินสะสม</t>
  </si>
  <si>
    <t xml:space="preserve">        รายการปรับปรุงรายจ่ายค้างจ่าย</t>
  </si>
  <si>
    <t xml:space="preserve">        รายการปรับปรุงรายจ่ายรอจ่าย</t>
  </si>
  <si>
    <t xml:space="preserve">        รายการปรับปรุงเงินรับฝากไทยเข้มแข็ง</t>
  </si>
  <si>
    <r>
      <t>บวก</t>
    </r>
    <r>
      <rPr>
        <sz val="14"/>
        <rFont val="TH SarabunPSK"/>
        <family val="2"/>
      </rPr>
      <t xml:space="preserve">  รายรับจริงสูงกว่ารายจ่ายจริง</t>
    </r>
  </si>
  <si>
    <t>………………………………..ผอ.กองคลัง</t>
  </si>
  <si>
    <t xml:space="preserve">         (นางสุพรรณี  คงคา)</t>
  </si>
  <si>
    <t>1.  รายได้จัดเก็บเอง</t>
  </si>
  <si>
    <t>ก.  หมวดภาษีอากร</t>
  </si>
  <si>
    <t>411000</t>
  </si>
  <si>
    <t>5.  ค่าธรรมเนียมเกี่ยวกับการจดทะเบียนพาณิชย์</t>
  </si>
  <si>
    <t>6.  ค่าปรับผู้กระทำผิดกฏหมายจราจร</t>
  </si>
  <si>
    <t>412306</t>
  </si>
  <si>
    <t>4. รายได้เบ็ดเตล็ดอื่น ๆ</t>
  </si>
  <si>
    <t>1.  ภาษีและค่าธรรมเนียมรถยนต์และล้อเลื่อน</t>
  </si>
  <si>
    <t>2. ภาษีมูลค่าเพิ่ม</t>
  </si>
  <si>
    <t xml:space="preserve">        1.1  ตามพรบ.กำหนดแผนฯ</t>
  </si>
  <si>
    <t xml:space="preserve">        1.2 ตาม   1/9</t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</si>
  <si>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</si>
  <si>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</si>
  <si>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</si>
  <si>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</si>
  <si>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</si>
  <si>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</si>
  <si>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9. ค่าธรรมเนียมน้ำบาดาล</t>
  </si>
  <si>
    <t>เงินอุดหนุนทั่วไป</t>
  </si>
  <si>
    <t>เงินอุดหนุนเฉพาะกิจหรืออุดหนุนให้โดยระบุวัตถุประสงค์</t>
  </si>
  <si>
    <t>1.  เงินอุดหนุนเฉพาะกิจ  เบี้ยยังชีพผู้สูงอายุ</t>
  </si>
  <si>
    <t>2.  เงินอุดหนุนเฉพาะกิจ  เบี้ยยังชีพคนพิการ</t>
  </si>
  <si>
    <t>3.  เงินอุดหนุนเฉพาะกิจ  ค่าตอบแทนครูผู้ดูแลเด็กเล็ก</t>
  </si>
  <si>
    <t>4.  เงินอุดหนุนเฉพาะกิจ  เงินเดือนครูผู้ดูแลเด็กเล็ก</t>
  </si>
  <si>
    <t>5.  เงินอุดหนุนเฉพาะกิจ  ค่าครองชีพครูผู้ดูแลเด็กเล็ก</t>
  </si>
  <si>
    <t>6.  เงินอุดหนุนเฉพาะกิจ  เงินประกันสังคมครูผู้ดูแลเด็กเล็ก</t>
  </si>
  <si>
    <t>7.  เงินอุดหนุนเฉพาะกิจ  โครงการปฏิบัติการและแก้ไขปัญหายาเสพติด</t>
  </si>
  <si>
    <t>8.  เงินอุดหนุนเฉพาะกิจ  โครงการต่างๆ</t>
  </si>
  <si>
    <t>หมายเหตุ 1 (หน้า 1)</t>
  </si>
  <si>
    <t>ประกอบรายงานรับ - จ่ายเงินสด</t>
  </si>
  <si>
    <t>31  ตุลาคม  2548</t>
  </si>
  <si>
    <t>รายได้จัดเก็บเอง</t>
  </si>
  <si>
    <t>หมวดภาษีอากร</t>
  </si>
  <si>
    <t>0100</t>
  </si>
  <si>
    <t xml:space="preserve">  1. ภาษีโรงเรือนและที่ดิน</t>
  </si>
  <si>
    <t>0101</t>
  </si>
  <si>
    <t xml:space="preserve">  2. ภาษีบำรุงท้องที่</t>
  </si>
  <si>
    <t>0102</t>
  </si>
  <si>
    <t xml:space="preserve">  3. ภาษีป้าย</t>
  </si>
  <si>
    <t>0103</t>
  </si>
  <si>
    <t xml:space="preserve">  4. อากรการฆ่าสัตว์</t>
  </si>
  <si>
    <t>0104</t>
  </si>
  <si>
    <t>หมวดค่าธรรมเนียม ค่าปรับ และใบอนุญาต</t>
  </si>
  <si>
    <t>0120</t>
  </si>
  <si>
    <t>0121</t>
  </si>
  <si>
    <t xml:space="preserve">  1. ค่าธรรมเนียมเกี่ยวกับควบคุมการฆ่าสัตว์ฯ</t>
  </si>
  <si>
    <t xml:space="preserve">  2.ค่าปรับจราจร</t>
  </si>
  <si>
    <t>0137</t>
  </si>
  <si>
    <t xml:space="preserve">  3. ค่าปรับการผิดสัญญา</t>
  </si>
  <si>
    <t>0140</t>
  </si>
  <si>
    <t xml:space="preserve">  4. ค่าปรับอื่น ๆ</t>
  </si>
  <si>
    <t>0141</t>
  </si>
  <si>
    <t xml:space="preserve">  5. ค่าธรรมเนียมเกี่ยวกับการสาธารณสุข</t>
  </si>
  <si>
    <t>0149</t>
  </si>
  <si>
    <t>หมวดรายได้จากทรัพย์สิน</t>
  </si>
  <si>
    <t>0200</t>
  </si>
  <si>
    <t xml:space="preserve">  1. ดอกเบี้ยเงินฝากธนาคาร</t>
  </si>
  <si>
    <t>0203</t>
  </si>
  <si>
    <t xml:space="preserve">  -</t>
  </si>
  <si>
    <t>หมวดรายได้เบ็ดเตล็ด</t>
  </si>
  <si>
    <t>0300</t>
  </si>
  <si>
    <t xml:space="preserve">  1. ค่าขายแบบแปลน</t>
  </si>
  <si>
    <t>0302</t>
  </si>
  <si>
    <t>(หน้า 2)</t>
  </si>
  <si>
    <t>รายได้ที่รัฐจัดเก็บให้</t>
  </si>
  <si>
    <t>หมวดภาษีจัดสรร</t>
  </si>
  <si>
    <t>1000</t>
  </si>
  <si>
    <t xml:space="preserve">  1. ภาษีมูลค่าเพิ่ม</t>
  </si>
  <si>
    <t>1002</t>
  </si>
  <si>
    <t xml:space="preserve">  2. ภาษีธุรกิจเฉพาะ</t>
  </si>
  <si>
    <t>1004</t>
  </si>
  <si>
    <t xml:space="preserve">  3. ภาษีสุรา</t>
  </si>
  <si>
    <t>1005</t>
  </si>
  <si>
    <t xml:space="preserve">  4. ภาษีสรรพสามิต</t>
  </si>
  <si>
    <t>1006</t>
  </si>
  <si>
    <t xml:space="preserve">  5. ค่าภาคหลวงแร่</t>
  </si>
  <si>
    <t>1010</t>
  </si>
  <si>
    <t xml:space="preserve">  6. ค่าภาคหลวงปิโตรเลียม</t>
  </si>
  <si>
    <t>1011</t>
  </si>
  <si>
    <t xml:space="preserve">  7. ค่าธรรมเนียมจดทะเบียนสิทธิและนิติกรรมที่ดิน</t>
  </si>
  <si>
    <t>หมวดเงินอุดหนุน</t>
  </si>
  <si>
    <t>2.เงินอุดหนุนกรณีต่าง ๆ ที่ต้องนำไปตั้งงบประมาณ</t>
  </si>
  <si>
    <t>สำรองเงินรายรับ</t>
  </si>
  <si>
    <t>1.สำรองเงินรายรับ</t>
  </si>
  <si>
    <t>หมวดเงินอุดหนุนทั่วไป (ที่ระบุวัตถุประสงค์)</t>
  </si>
  <si>
    <t>1.เงินอุดหนุนทั่วไป (อาหารเสริมนม)</t>
  </si>
  <si>
    <t>2.เงินอุดหนุนทั่วไป (อาหารกลางวัน)</t>
  </si>
  <si>
    <t>3.เงินอุดหนุนทั่วไป (เบี้ยยังชีพผู้สูงอายุ)</t>
  </si>
  <si>
    <t>4.เงินอุดหนุนทั่วไป (สาธารณสุข)</t>
  </si>
  <si>
    <t>เงินรับฝาก</t>
  </si>
  <si>
    <t>4.เงินรับฝาก-เงินส่วนลด 6%</t>
  </si>
  <si>
    <t>30  พฤศจิกายน  2548</t>
  </si>
  <si>
    <t xml:space="preserve">  6. ค่าใบอนุญาตจำหน่ายสินค้าในที่สาธารณะ</t>
  </si>
  <si>
    <t>0145</t>
  </si>
  <si>
    <t>30  ธันวาคม  2548</t>
  </si>
  <si>
    <t>30  มกราคม  2549</t>
  </si>
  <si>
    <t>4.เงินอุดหนุนทั่วไป (เบี้ยยังชีพผู้พิการ)</t>
  </si>
  <si>
    <t>5.เงินอุดหนุนทั่วไป (กลุ่มสตรีฯ)</t>
  </si>
  <si>
    <t>6.เงินอุดหนุนทั่วไป (กิจกรรมเด็กและเยาวชน)</t>
  </si>
  <si>
    <t>7.เงินอุดหนุนทั่วไป (สาธารณสุข)</t>
  </si>
  <si>
    <t>28  กุมภาพันธ์  2549</t>
  </si>
  <si>
    <t>31  มีนาคม  2549</t>
  </si>
  <si>
    <t>28  เมษายน  2549</t>
  </si>
  <si>
    <t>7.เงินอุดหนุนทั่วไป (เงินพัฒนาสาธารณสุขมูลฐาน)</t>
  </si>
  <si>
    <t>รับเงินส่งคืน</t>
  </si>
  <si>
    <t>1.รับเงินคืนจากการช่วยเหลือผู้ประสบอุทกภัยภาคใต้</t>
  </si>
  <si>
    <t>หมายเหตุประกอบงบรับ จ่ายเงินสด</t>
  </si>
  <si>
    <t xml:space="preserve">           จะแสดงถึงรายรับทั้งสิ้นในเดือนปัจจุบัน  และจะรวมยอดรายรับทั้งสิ้นตั้งแต่ต้นปี</t>
  </si>
  <si>
    <t>ในส่วนของเงินรับฝาก</t>
  </si>
  <si>
    <t xml:space="preserve">          จะนำยอดมาจากบัญชีแยกประเภทบางที่อาจมียอดยกมาตั้งแต่ต้นปีทำให้ยอดไม่ตรงกัน</t>
  </si>
  <si>
    <t>5 %  จะแสดงยอดของเดือนปัจจุบันที่รับเข้ามาแล้วยังไม่นำฝากในเดือนนั้น   แต่จะนำฝากต้นเดือนถัดไป</t>
  </si>
  <si>
    <t>ให้ถือเป็นรายรับชนิดหนึ่ง(รับฝาก)   แต่มีภาระต้องจ่ายในภายหน้า</t>
  </si>
  <si>
    <t>ณ    วันที่   30  กันยายน    2556</t>
  </si>
  <si>
    <t>ณ วันที่  30 กันยายน 2556</t>
  </si>
  <si>
    <t>เงินฝากธนาคารธกส. - ออมทรัพย์  01-593-2-68174-5</t>
  </si>
  <si>
    <t>เงินฝากธนาคารธกส. - ออมทรัพย์ 01-593-2-67943-1</t>
  </si>
  <si>
    <t>ลูกหนี้เงินรับฝาก-เงินทุนโครงการเศรษฐกิจชุมชน</t>
  </si>
  <si>
    <t>732000</t>
  </si>
  <si>
    <t>741000</t>
  </si>
  <si>
    <t>542000</t>
  </si>
  <si>
    <t>ที่มา : บัญชีแยกประเภท ปี 56</t>
  </si>
  <si>
    <t>(1)10,184</t>
  </si>
  <si>
    <t>(1)5,216</t>
  </si>
  <si>
    <t>รายจ่ายผัดส่งใบสำคัญ</t>
  </si>
  <si>
    <t>210200</t>
  </si>
  <si>
    <t>(1)15,400</t>
  </si>
  <si>
    <t>(2)22,749</t>
  </si>
  <si>
    <t>(1)73,489</t>
  </si>
  <si>
    <t>(3)3,500</t>
  </si>
  <si>
    <t>(3)76,989</t>
  </si>
  <si>
    <t>(4)1,610,300</t>
  </si>
  <si>
    <t>541000</t>
  </si>
  <si>
    <t>(4)200,000</t>
  </si>
  <si>
    <t>(4)45,000</t>
  </si>
  <si>
    <t>(4)1,373,000</t>
  </si>
  <si>
    <t>(4)3,228,300</t>
  </si>
  <si>
    <t>ลูกหนี้ - เงินรายได้ค่าสาธาณูปโภคและพาณิชย์(ค่าน้ำประปา)</t>
  </si>
  <si>
    <t>ลูกหนี้ - เงินรายได้ค่าสาธารณูปโภคและการพาณิชย์(ค่าน้ำประปา)</t>
  </si>
  <si>
    <t>ลูกหนี้ - เงินรับฝากเงินทุนโครงการเศรษฐกิจชุมชน</t>
  </si>
  <si>
    <t>ณ  วันที่  30  กันยายน  2556</t>
  </si>
  <si>
    <r>
      <t>หัก</t>
    </r>
    <r>
      <rPr>
        <sz val="16"/>
        <rFont val="TH SarabunPSK"/>
        <family val="2"/>
      </rPr>
      <t xml:space="preserve">  เงินทุนสำรองเงินสะสม</t>
    </r>
  </si>
  <si>
    <r>
      <t>หัก</t>
    </r>
    <r>
      <rPr>
        <sz val="15"/>
        <rFont val="TH SarabunPSK"/>
        <family val="2"/>
      </rPr>
      <t xml:space="preserve">  บัญชีลูกหนี้ - ภาษีโรงเรือนและทีดิน</t>
    </r>
  </si>
  <si>
    <r>
      <t>หัก</t>
    </r>
    <r>
      <rPr>
        <sz val="15"/>
        <rFont val="TH SarabunPSK"/>
        <family val="2"/>
      </rPr>
      <t xml:space="preserve">  บัญชีรายจ่ายรอจ่าย</t>
    </r>
  </si>
  <si>
    <r>
      <t xml:space="preserve">     ค่าตอบแทน  </t>
    </r>
    <r>
      <rPr>
        <sz val="10"/>
        <rFont val="TH SarabunPSK"/>
        <family val="2"/>
      </rPr>
      <t xml:space="preserve"> (รายละเอียด 2)</t>
    </r>
  </si>
  <si>
    <r>
      <t xml:space="preserve">     ค่าวัสดุ  </t>
    </r>
    <r>
      <rPr>
        <sz val="10"/>
        <rFont val="TH SarabunPSK"/>
        <family val="2"/>
      </rPr>
      <t>(รายละเอียด 4)</t>
    </r>
  </si>
  <si>
    <r>
      <t xml:space="preserve">     งบกลาง    </t>
    </r>
    <r>
      <rPr>
        <sz val="10"/>
        <rFont val="TH SarabunPSK"/>
        <family val="2"/>
      </rPr>
      <t>(รายละเอียด 6)</t>
    </r>
  </si>
  <si>
    <r>
      <t xml:space="preserve">      </t>
    </r>
    <r>
      <rPr>
        <sz val="12"/>
        <rFont val="TH SarabunPSK"/>
        <family val="2"/>
      </rPr>
      <t xml:space="preserve">ค่าที่ดินฯ  </t>
    </r>
    <r>
      <rPr>
        <sz val="10"/>
        <rFont val="TH SarabunPSK"/>
        <family val="2"/>
      </rPr>
      <t xml:space="preserve"> (รายละเอียด 8)</t>
    </r>
  </si>
  <si>
    <r>
      <t xml:space="preserve">    </t>
    </r>
    <r>
      <rPr>
        <sz val="10"/>
        <rFont val="TH SarabunPSK"/>
        <family val="2"/>
      </rPr>
      <t xml:space="preserve"> เงินอุดหนุนทั่วไปที่ระบุวัตถุประสงค์</t>
    </r>
  </si>
  <si>
    <t xml:space="preserve">                         /2556</t>
  </si>
  <si>
    <t>คลัง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</si>
  <si>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</si>
  <si>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</si>
  <si>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</si>
  <si>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</si>
  <si>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ค่าธรรมเนียมเกี่ยวกับควบคุมการฆ่าสัตว์ฯ</t>
  </si>
  <si>
    <t>ค่าธรรมเนียมเกี่ยวกับใบอนุญาตขายสุรา</t>
  </si>
  <si>
    <t>ค่าธรรมเนียมปิด โปรย ติดตั้งแผ่นประกาศหรือแผ่นปลิวเพื่อการโฆษณา</t>
  </si>
  <si>
    <t>ค่าธรรมเนียมเกี่ยวกับการจดทะเบียนพาณิชย์</t>
  </si>
  <si>
    <t>ค่าธรรมเนียมอื่นๆ</t>
  </si>
  <si>
    <t>ค่าใบอนุญาตสำหรับกิจการที่เป็นอันตรายต่อสุขภาพ</t>
  </si>
  <si>
    <t>ค่าใบอนุญาตให้ตั้งตลาดเอกชน</t>
  </si>
  <si>
    <t>ดอกเบี้ย</t>
  </si>
  <si>
    <t>ค่าขายแบบแปลน</t>
  </si>
  <si>
    <t>ค่าจำหน่ายแบบพิมพ์ และคำร้อง</t>
  </si>
  <si>
    <t>ค่ารับรองสำเนาและถ่ายเอกสาร</t>
  </si>
  <si>
    <t>รายได้เบ็ดเตล็ดอื่น ๆ</t>
  </si>
  <si>
    <t>รายได้จากสาธาณูปโภคฯ(ค่าน้ำประปา)</t>
  </si>
  <si>
    <t>ภาษีมูลค่าเพิ่มตามพรบ.กำหนดแผนฯ</t>
  </si>
  <si>
    <t>ภาษีมูลค่า 1/9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</si>
  <si>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</si>
  <si>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</si>
  <si>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</si>
  <si>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</si>
  <si>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</si>
  <si>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ค่าธรรมเนียมจดทะเบียนสิทธิและนิติกรรมที่ดิน</t>
  </si>
  <si>
    <t>เงินอุดหนุนเฉพาะกิจ  เบี้ยยังชีพผู้สูงอายุ</t>
  </si>
  <si>
    <t>เงินอุดหนุนเฉพาะกิจ  เบี้ยยังชีพคนพิการ</t>
  </si>
  <si>
    <t>เงินอุดหนุนเฉพาะกิจ  ค่าตอบแทนครูผู้ดูแลเด็กเล็ก</t>
  </si>
  <si>
    <t>เงินอุดหนุนเฉพาะกิจ  เงินเดือนครูผู้ดูแลเด็กเล็ก</t>
  </si>
  <si>
    <t>เงินอุดหนุนเฉพาะกิจ  ค่าครองชีพครูผู้ดูแลเด็กเล็ก</t>
  </si>
  <si>
    <t>เงินอุดหนุนเฉพาะกิจ  เงินประกันสังคมครูผู้ดูแลเด็กเล็ก</t>
  </si>
  <si>
    <t>เงินอุดหนุนเฉพาะกิจ  โครงการปฏิบัติการและแก้ไขปัญหายาเสพติด</t>
  </si>
  <si>
    <t>เงินอุดหนุนเฉพาะกิจ  โครงการต่างๆ</t>
  </si>
  <si>
    <t>421015</t>
  </si>
  <si>
    <t>431000</t>
  </si>
  <si>
    <t>441001</t>
  </si>
  <si>
    <t>441002</t>
  </si>
  <si>
    <t>441003</t>
  </si>
  <si>
    <t>441004</t>
  </si>
  <si>
    <t>441005</t>
  </si>
  <si>
    <t>441006</t>
  </si>
  <si>
    <t>441007</t>
  </si>
  <si>
    <t>441008</t>
  </si>
  <si>
    <t>2.  ค่าธรรมเนียมเกี่ยวกับใบอนุญาตขายสุรา</t>
  </si>
  <si>
    <t>3.  ค่าธรรมเนียมเกี่ยวกับใบอนุญาตการพนัน</t>
  </si>
  <si>
    <t>4.  ค่าธรรมเนียมปิด โปรย ติดตั้งแผ่นประกาศหรือแผ่นปลิวเพื่อการโฆษณา</t>
  </si>
  <si>
    <t>7. ค่าปรับผู้กระทำผิดกฏหมายสาธารณสุข</t>
  </si>
  <si>
    <t>8.  ค่าธรรมเนียมอื่นๆ</t>
  </si>
  <si>
    <t>9. ค่าใบอนุญาตสำหรับกิจการที่เป็นอันตรายต่อสุขภาพ</t>
  </si>
  <si>
    <t>10.  ค่าใบอนุญาตให้ตั้งตลาดเอกชน</t>
  </si>
  <si>
    <t>เงินรับฝาก-เงินทุนโครงการเศรษฐกิจชุมชน (หมายเหตุ 2)</t>
  </si>
  <si>
    <t>ลูกหนี้เงินยืมเงินงบประมาณ</t>
  </si>
  <si>
    <t xml:space="preserve">5.  เงินรับฝาก-ค่าขายแบบ  </t>
  </si>
  <si>
    <t>เงินรับฝาก -  เงินทุนโครงการเศรษฐกิจชุมชน</t>
  </si>
  <si>
    <t>เงินนอกงบประมาณ-เงินทุนโครงการเศรษฐกิจชุมชน(หมายเหตุ2)</t>
  </si>
  <si>
    <t>เงินนอกงบประมาณ-เงินทุนโครงการเศรษฐกิจชุมชน</t>
  </si>
  <si>
    <t xml:space="preserve"> ประกอบงบทดลอง</t>
  </si>
  <si>
    <r>
      <t>หมายเหตุ 2(ต่อ</t>
    </r>
    <r>
      <rPr>
        <b/>
        <sz val="16"/>
        <rFont val="Browallia New"/>
        <family val="2"/>
      </rPr>
      <t>)</t>
    </r>
  </si>
  <si>
    <t xml:space="preserve">เงินรับฝาก-เงินรอคืนจังหวัด  </t>
  </si>
  <si>
    <t>1.เงินอุดหนุนเฉพาะกิจ - เบี้ยยังชีพผู้สูงอายุ</t>
  </si>
  <si>
    <t>2.เงินอุดหนุนเฉพาะกิจ - เบี้ยยังชีพผู้พิการ</t>
  </si>
  <si>
    <t>3.เงินอุดหนุนเฉพาะกิจ - เงินสมทบประกันสังคม</t>
  </si>
  <si>
    <t>4.เงินอุดหนุนเฉพาะกิจ-โครงการป้องกันและแก้ไขปัญหายาเสพติด</t>
  </si>
  <si>
    <t>เงินรับฝาก - เงินรอคืนจังหวัด(หมายเหตุ2)</t>
  </si>
  <si>
    <t xml:space="preserve">เงินรับฝาก-เงินรอคืนจังหวัด (หมายเหตุ2) </t>
  </si>
  <si>
    <t>ณ วันที่ 30 กันยายน 2556</t>
  </si>
  <si>
    <t>ลูกหนี้ - รายได้ค่าสาธาณูปโภคและการพาณิชย์</t>
  </si>
  <si>
    <t>110607</t>
  </si>
  <si>
    <t>110608</t>
  </si>
  <si>
    <t>เงินรับฝาก-เงินรอคืนจังหวัด</t>
  </si>
  <si>
    <t>บัญชีเงินสะสม</t>
  </si>
  <si>
    <t>บัญชีเงินทุนสำรองเงินสะสม</t>
  </si>
  <si>
    <t>ลูกหนี้ -รายได้ค่าสาธารณูปโภคและการพาณิชย์</t>
  </si>
  <si>
    <t>ลูกหนี้ - เงินยืมเงินงบประมาณ</t>
  </si>
  <si>
    <t>เงินทุนสำรองเงินสะสม  ปี 2555</t>
  </si>
  <si>
    <t>เงินทุนสำรองเงินสะสม  ปี2556</t>
  </si>
  <si>
    <t>เงินสะสม  1  ตุลาคม  2555</t>
  </si>
  <si>
    <t xml:space="preserve">        เบิกเกินส่งคืน</t>
  </si>
  <si>
    <r>
      <t>หัก</t>
    </r>
    <r>
      <rPr>
        <sz val="14"/>
        <rFont val="TH SarabunPSK"/>
        <family val="2"/>
      </rPr>
      <t xml:space="preserve">    เงินทุนสำรองเงินสะสมประจำปี 2556 </t>
    </r>
  </si>
  <si>
    <t xml:space="preserve">        ปรับปรุงบัญชีลูกหนี้-ภาษีบำรุงท้องที่</t>
  </si>
  <si>
    <t>เงินสะสม  30  กันยายน  2556</t>
  </si>
  <si>
    <r>
      <t>หมายเหตุ  2</t>
    </r>
    <r>
      <rPr>
        <b/>
        <sz val="16"/>
        <rFont val="TH SarabunPSK"/>
        <family val="2"/>
      </rPr>
      <t xml:space="preserve">   เงินสดและเงินฝากธนาคาร  </t>
    </r>
  </si>
  <si>
    <r>
      <t>หมายเหตุ 3</t>
    </r>
    <r>
      <rPr>
        <b/>
        <sz val="16"/>
        <rFont val="TH SarabunPSK"/>
        <family val="2"/>
      </rPr>
      <t xml:space="preserve">    เงินรับฝาก </t>
    </r>
  </si>
  <si>
    <t>กลุ่มปลูกผักบ้านเสือชะเง้อ หมู่ที่ 5</t>
  </si>
  <si>
    <t>เงินทุนโครงการเศรษฐกิจชุมชน</t>
  </si>
  <si>
    <t>กลุ่มเพาะเห็ดนางฟ้าบ้านสุขสำราญหมู่ที่ 7</t>
  </si>
  <si>
    <t>เงินสดและเงินฝากธนาคาร (หมายเหตุ2)</t>
  </si>
  <si>
    <t>ทรัพย์สินตามงบทรัพย์สิน (หมายเหตุ1)</t>
  </si>
  <si>
    <t xml:space="preserve">เงินนอกงบประมาณ - เงินทุนเศรษฐกิจชุมชน  </t>
  </si>
  <si>
    <t>กลุ่มเย็บผ้าด้วยเครื่องจักร บ้านศรีสง่า หมู่ที่ 4</t>
  </si>
  <si>
    <t>ปีงบประมาณ 2556</t>
  </si>
  <si>
    <t>(เลขที่ 01-593-2-68174-5)</t>
  </si>
  <si>
    <t>(เลขที่ 01-593-2-67943-1)</t>
  </si>
  <si>
    <r>
      <t>หมายเหตุ 3</t>
    </r>
    <r>
      <rPr>
        <b/>
        <sz val="16"/>
        <rFont val="TH SarabunPSK"/>
        <family val="2"/>
      </rPr>
      <t xml:space="preserve">     </t>
    </r>
  </si>
  <si>
    <t>เงินรอคืนจังหวัด</t>
  </si>
  <si>
    <t>เงินรับฝาก-โครงการเศรษฐกิจชุมชน(หมายเหตุ3)</t>
  </si>
  <si>
    <t>เงินรับฝาก(หมายเหตุ3)</t>
  </si>
  <si>
    <t>เงินรับฝาก - เงินรอคืนจังหวัด(หมายเหตุ3)</t>
  </si>
  <si>
    <t>ปี งบประมาณ 2556</t>
  </si>
  <si>
    <t>หมายเหตุ 3.1</t>
  </si>
  <si>
    <t>เงินผลประโยชน์ตอบแทนอื่น เป็นกรณีพิเศษ  ประจำปี  2556</t>
  </si>
  <si>
    <t xml:space="preserve">                                                                           องค์การบริหารส่วนตำบลทุ่งกระตาดพัฒนา                                                  หมายเหตุ 3.2</t>
  </si>
  <si>
    <t xml:space="preserve">รายละเอียดเงินประกันสัญญา     ณ  วันที่ 30  กันยายน 2556 </t>
  </si>
  <si>
    <t>โครงการจัดซื้อเครื่องเล่นศูนย์พัฒนาเด็กเล็กอบต.ทุ่งกระตาดพัฒนา</t>
  </si>
  <si>
    <t>โครงการจัดซื้อเครื่องพ่นหมอกควัน</t>
  </si>
  <si>
    <t>โครงการจัดซื้อเครื่องพิกัดสัญญาณดาวเทียม</t>
  </si>
  <si>
    <t>โครงการซ่อมแซมปรับปรุงถนนลงหินคลุก หมู่ที่ 7</t>
  </si>
  <si>
    <t>โครงการซ่อมแซมปรับปรุงถนนลงลูกรัง  หมู่ที่ 7</t>
  </si>
  <si>
    <t>โครงการก่อสร้างท่อระบายน้ำพร้อมบ่อพัก หมู่ที่ 10</t>
  </si>
  <si>
    <t>โครงการก่อสร้างท่อระบายน้ำพร้อมบ่อพักและเทคอนกรีตเสริมเหล็ก หมู่ที่ 7</t>
  </si>
  <si>
    <t>โครงการก่อสร้างท่อระบายน้ำพร้อมบ่อพัก  หมู่ที่ 5</t>
  </si>
  <si>
    <t>โครงการปรับปรุงถนนลงลูกรัง  หมู่ที่ 12</t>
  </si>
  <si>
    <t>โครงการปรับปรุงถนนลงหินคลุก หมู่ที่ 5</t>
  </si>
  <si>
    <t>โครงการซ่อมแซมปรับปรุงถนนลงหินคลุก หมู่ที่ 5 ถึงหมู่ที่ 7</t>
  </si>
  <si>
    <t>โครงการซ่อมแซมปรับปรุงถนนลงลูกรัง  หมู่ที่ 5</t>
  </si>
  <si>
    <t>โครงการซ่อมแซมปรับปรุงถนนลงดินปรับปรุงถนนไหล่ทาง หมู่ที่ 1</t>
  </si>
  <si>
    <t>โครงการติดตั้งสัญญาณไฟจราจร หมู่ที่ 7 และหมู่ที่ 10</t>
  </si>
  <si>
    <t>โครงการก่อสร้างถนนคอนกรีตเสริมเหล็ก หมู่ที่ 12</t>
  </si>
  <si>
    <t>โครงการก่อสร้างถนนลาดยางผิวแคปซีล หมู่ที่ 4</t>
  </si>
  <si>
    <t>โครงการก่อสร้างถนนคอนกรีตเสริมเหล็ก หมู่ที่ 3</t>
  </si>
  <si>
    <t>โครงการปรับปรุงซ่อมแซมผลิตน้ำประปา หมู่ที่ 5และหมู่ที่ 3</t>
  </si>
  <si>
    <t>ค่าที่ดินและสิ่งก่อสร้าง(ต่อ)</t>
  </si>
  <si>
    <t>โครงการก่อสร้างท่อระบายน้ำ หมู่ที่ 10</t>
  </si>
  <si>
    <t>โครงการก่อสร้างถนนคอนกรีตเสริมเหล็ก  หมู่ที่ 12</t>
  </si>
  <si>
    <t>โครงการก่อสร้างท่อระบายน้ำ หมู่ที่ 7</t>
  </si>
  <si>
    <t>โครงการก่อสร้างท่อระบายน้ำ หมู่ที่ 5</t>
  </si>
  <si>
    <t>รายการปรับปรุงรายจ่ายรอจ่ายปี2555</t>
  </si>
  <si>
    <t>ปรับปรุงบัญชีลูกหนี้ - ภาษีบำรุงท้องที่</t>
  </si>
  <si>
    <t>เงินสะสม  1  ตุลาคม   2555</t>
  </si>
  <si>
    <t>เงินสะสม  30  กันยายน  2556  ประกอบด้วย</t>
  </si>
  <si>
    <t>รายงานยอดเงินสะสมที่นำไปใช้ได้คงเหลือ  ณ วันที่  30 กันยายน  2556</t>
  </si>
  <si>
    <t>4. ลูกหนี้-ใบอนุญาตที่เป็นอันตรายต่อสุขภาพ</t>
  </si>
  <si>
    <t>5. ลูกหนี้-รายได้ค่าสาธารณูปโภคและการพาณิชย์</t>
  </si>
  <si>
    <t>6. เงินสะสมที่สามารถนำไปใช้จ่ายได้</t>
  </si>
  <si>
    <t>ยอดเงินสะสมที่นำไปใช้ได้ ณ วันที่  30 กันยายน  2556 (ยอดตาม (1) หรือ (2))</t>
  </si>
  <si>
    <t>ยอดเงินสะสม ณ วันที่  30  กันยายน  2556</t>
  </si>
  <si>
    <t xml:space="preserve">       บัญชีลูกหนี้ - รายได้ค่าสาธารณูปโภคและการพาณิชย์</t>
  </si>
  <si>
    <t xml:space="preserve">       บัญชีลูกหนี้ - ภาษีบำรุงท้องที่ (89%)</t>
  </si>
  <si>
    <t>ยอดเงินสด  เงินฝากธนาคารและเงินฝากคลังจังหวัด ณ วันที่  30 กันยายน 2556</t>
  </si>
  <si>
    <t xml:space="preserve">       บัญชีรายจ่ายค้างจ่าย</t>
  </si>
  <si>
    <t xml:space="preserve">       บัญชีเงินรับฝาก-โครงการเศรษฐกิจชุมชน </t>
  </si>
  <si>
    <t>ตั้งแต่วันที่ 1 ตุลาคม 2555  ถึงวันที่  30  กันยายน  2556</t>
  </si>
  <si>
    <t>7  ธันวาคม  2555</t>
  </si>
  <si>
    <t>3  เมษายน  2556</t>
  </si>
  <si>
    <t>6  มีนาคม  2556</t>
  </si>
  <si>
    <t>9  พฤษภาคม  2556</t>
  </si>
  <si>
    <t>16 พฤษภาคม 2556</t>
  </si>
  <si>
    <t>21 มิถุนายน 2556</t>
  </si>
  <si>
    <t>5 กรกฎาคม 2556</t>
  </si>
  <si>
    <t>12 กรกฎาคม 2556</t>
  </si>
  <si>
    <t>16 สิงหาคม 2556</t>
  </si>
  <si>
    <t>5 กันยายน 2556</t>
  </si>
  <si>
    <t>23 กันยายน 2556</t>
  </si>
  <si>
    <t>27 กันยายน 2556</t>
  </si>
  <si>
    <t>หจก.บุรีรัมย์คอมพิวเตอร์</t>
  </si>
  <si>
    <t>นายโกศล  จันทร์เรือง</t>
  </si>
  <si>
    <t>นายสุบัน  บุญเผย</t>
  </si>
  <si>
    <t>โครงการก่อสร้างถนนคอนกรีตเสริมเหล็ก หมู่ที่ 10</t>
  </si>
  <si>
    <t>โครงการก่อสร้างถนนคอนกรีตเสริมเหล็ก หมู่ที่ 7และหมู่ที่ 10</t>
  </si>
  <si>
    <t>โครงการจัดซื้อกล้องวงจรปิด พร้อมอุปกรณ์</t>
  </si>
  <si>
    <t>โครงการซ่อมแซมไฟฟ้าสาธารณะ</t>
  </si>
  <si>
    <t>โครงการซ่อมแซมศูนย์พัฒนาเด็กเล็ก</t>
  </si>
  <si>
    <t>โครงการซ่อมแซมประปาหมู่บ้าน ม.3,ม.5</t>
  </si>
  <si>
    <t>โครงการซ่อมแซมถนนลงลูกรังม.3,10,12</t>
  </si>
  <si>
    <t>โครงการซ่อมแซมอาคารสำนักงาน(ห้องน้ำ)</t>
  </si>
  <si>
    <t>โครงการก่อสร้างถนนคอนกรีตเสริมเหล็ก ม.1</t>
  </si>
  <si>
    <t>โครงการปรับปรุงซ่อมแซมเครื่องเล่นเด็ก</t>
  </si>
  <si>
    <t>โครงการก่อสร้างถนนลาดยางผิวชนิดแคปซีล ม.4</t>
  </si>
  <si>
    <t>โครงการก่อสร้างท่อระบายน้ำ ม.5</t>
  </si>
  <si>
    <t>โครงการก่อสร้างท่อระบายน้ำ ม.7</t>
  </si>
  <si>
    <t>โครงการก่อสร้างท่อระบายน้ำ ม.10</t>
  </si>
  <si>
    <t>หมายเหตุ 3.3</t>
  </si>
  <si>
    <t>เงินรับฝาก - เงินรอคืนจังหวัด</t>
  </si>
  <si>
    <t>ลูกหนี้ - เงินทุนโครงการเศรษฐกิจชุมชน (หมายเหตุ 3.1)</t>
  </si>
  <si>
    <t>ค่าเดินทางไปราชการของนายคมสัน  กุลไกรจักรและนายณัฐภัทร  ฝั้นกาญจน์</t>
  </si>
  <si>
    <t>ค่าเดินทางไปราชการของนางสุพรรณี  คงคา</t>
  </si>
  <si>
    <t>(หมวดค่าใช้สอย)</t>
  </si>
  <si>
    <t>(ลงชื่อ)</t>
  </si>
  <si>
    <t>7 มกราคม 2558</t>
  </si>
  <si>
    <t>18 มีนาคม 2558</t>
  </si>
  <si>
    <t>10 เมษายน 2557</t>
  </si>
  <si>
    <t>20 พฤษภาคม 2557</t>
  </si>
  <si>
    <t>22 พฤษภาคม 2557</t>
  </si>
  <si>
    <t>28 มิถุนายน 2557</t>
  </si>
  <si>
    <t>5 กรกฏาคม 2557</t>
  </si>
  <si>
    <t>24 กรกฎาคม 2557</t>
  </si>
  <si>
    <t>21 สิงหาคม 2557</t>
  </si>
  <si>
    <t>18 กันยายน 2558</t>
  </si>
  <si>
    <t>26 กันยายน 2557</t>
  </si>
  <si>
    <t xml:space="preserve">      (นางสุพรรณี  คงคา)</t>
  </si>
  <si>
    <t xml:space="preserve">     ผู้อำนวยการกองคลัง</t>
  </si>
  <si>
    <t xml:space="preserve">       (นายคมสัน  กุลไกรจักร)</t>
  </si>
  <si>
    <t xml:space="preserve">    ปลัดองค์การบริหารส่วนตำบล</t>
  </si>
  <si>
    <t xml:space="preserve">        (นายสุชาติ  พันธุ์สัมฤทธิ์)</t>
  </si>
  <si>
    <t xml:space="preserve">     นายกอบต.ทุ่งกระตาดพัฒนา</t>
  </si>
  <si>
    <t>หมายเหตุ 5</t>
  </si>
  <si>
    <t>หมายเหตุ  6</t>
  </si>
  <si>
    <t>หมายเหตุ 6.1</t>
  </si>
  <si>
    <t>หมายเหตุ 6.2</t>
  </si>
  <si>
    <t>รายจ่ายค้างจ่าย(หมายเหตุ4)</t>
  </si>
  <si>
    <t>เงินจ่ายผัดส่งใบสำคัญ(หมายเหตุ5)</t>
  </si>
  <si>
    <t>เบี้ยยังชีพผู้สูงอายุ (งบกลาง)</t>
  </si>
  <si>
    <t>เบี้ยยังชีพผู้พิการ (งบกลาง)</t>
  </si>
  <si>
    <t>เงินสมทบประกันสังคม(งบกลาง)</t>
  </si>
  <si>
    <t>เงินโครงการตามแผนปฏิบัติการป้องกันและแก้ไขปัญหายาเสพติด(ค่าใช้สอย)</t>
  </si>
  <si>
    <t>รายงานรายจ่ายที่ได้รับอนุมัติให้จ่ายจากเงินสะสม</t>
  </si>
  <si>
    <t>ปีงบประมาณ  พ.ศ. 2556</t>
  </si>
  <si>
    <t>จำนวนเงินที่ได้รับอนุมัติ</t>
  </si>
  <si>
    <t>จ่ายขาด</t>
  </si>
  <si>
    <t>ยืมเงินสะสม</t>
  </si>
  <si>
    <t>คงเหลือเบิกจ่าย</t>
  </si>
  <si>
    <t>ปี 2556</t>
  </si>
  <si>
    <t>ยังไม่ได้ก่อหนี้ผูกพัน</t>
  </si>
  <si>
    <t>ได้รับอนุมัติ</t>
  </si>
  <si>
    <t>โครงการวางท่อระบายน้ำหมู่ที่7,10</t>
  </si>
  <si>
    <t>โครงการก่อสร้างถนนคอนกรีตเสริมเหล็กม.10</t>
  </si>
  <si>
    <t>หมายเหตุ 6.3</t>
  </si>
  <si>
    <t>เงินสะสม(หมายเหตุ 6)  30  กันยายน  2556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</si>
</sst>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_ ;\-#,##0.00\ "/>
  </numFmts>
  <fonts count="100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sz val="14"/>
      <name val="AngsanaUPC"/>
      <family val="1"/>
    </font>
    <font>
      <b/>
      <sz val="16"/>
      <name val="AngsanaUPC"/>
      <family val="1"/>
    </font>
    <font>
      <sz val="16"/>
      <color indexed="8"/>
      <name val="AngsanaUPC"/>
      <family val="1"/>
    </font>
    <font>
      <sz val="16"/>
      <name val="AngsanaUPC"/>
      <family val="1"/>
    </font>
    <font>
      <sz val="16"/>
      <color indexed="8"/>
      <name val="Angsana New"/>
      <family val="1"/>
    </font>
    <font>
      <sz val="14"/>
      <name val="Angsana New"/>
      <family val="1"/>
    </font>
    <font>
      <sz val="16"/>
      <name val="Browallia New"/>
      <family val="2"/>
    </font>
    <font>
      <b/>
      <u val="single"/>
      <sz val="16"/>
      <name val="Browallia New"/>
      <family val="2"/>
    </font>
    <font>
      <b/>
      <sz val="16"/>
      <name val="Browallia New"/>
      <family val="2"/>
    </font>
    <font>
      <sz val="15"/>
      <name val="Browallia New"/>
      <family val="2"/>
    </font>
    <font>
      <sz val="15"/>
      <color indexed="10"/>
      <name val="Browallia New"/>
      <family val="2"/>
    </font>
    <font>
      <sz val="13"/>
      <name val="Angsana New"/>
      <family val="1"/>
    </font>
    <font>
      <sz val="12"/>
      <name val="Angsana New"/>
      <family val="1"/>
    </font>
    <font>
      <sz val="14"/>
      <color indexed="10"/>
      <name val="Angsana New"/>
      <family val="1"/>
    </font>
    <font>
      <b/>
      <sz val="14"/>
      <name val="Browallia New"/>
      <family val="2"/>
    </font>
    <font>
      <sz val="14"/>
      <name val="Browallia New"/>
      <family val="2"/>
    </font>
    <font>
      <b/>
      <sz val="13"/>
      <name val="Browallia New"/>
      <family val="2"/>
    </font>
    <font>
      <b/>
      <sz val="18"/>
      <name val="Browallia New"/>
      <family val="2"/>
    </font>
    <font>
      <sz val="14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u val="single"/>
      <sz val="14"/>
      <color indexed="8"/>
      <name val="Angsana New"/>
      <family val="1"/>
    </font>
    <font>
      <b/>
      <sz val="20"/>
      <name val="AngsanaUPC"/>
      <family val="1"/>
    </font>
    <font>
      <b/>
      <sz val="15"/>
      <name val="AngsanaUPC"/>
      <family val="1"/>
    </font>
    <font>
      <sz val="13"/>
      <name val="Browallia New"/>
      <family val="2"/>
    </font>
    <font>
      <b/>
      <sz val="14"/>
      <name val="TH SarabunPSK"/>
      <family val="2"/>
    </font>
    <font>
      <b/>
      <sz val="20"/>
      <name val="Browall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3.5"/>
      <name val="TH SarabunPSK"/>
      <family val="2"/>
    </font>
    <font>
      <sz val="13.5"/>
      <name val="TH SarabunPSK"/>
      <family val="2"/>
    </font>
    <font>
      <sz val="14"/>
      <color indexed="9"/>
      <name val="TH SarabunPSK"/>
      <family val="2"/>
    </font>
    <font>
      <sz val="14"/>
      <color indexed="10"/>
      <name val="TH SarabunPSK"/>
      <family val="2"/>
    </font>
    <font>
      <sz val="15"/>
      <color indexed="10"/>
      <name val="TH SarabunPSK"/>
      <family val="2"/>
    </font>
    <font>
      <b/>
      <u val="single"/>
      <sz val="15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u val="single"/>
      <sz val="16"/>
      <name val="TH SarabunPSK"/>
      <family val="2"/>
    </font>
    <font>
      <u val="single"/>
      <sz val="15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color indexed="10"/>
      <name val="TH SarabunPSK"/>
      <family val="2"/>
    </font>
    <font>
      <b/>
      <sz val="10"/>
      <name val="TH SarabunPSK"/>
      <family val="2"/>
    </font>
    <font>
      <sz val="10"/>
      <color indexed="10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b/>
      <sz val="12"/>
      <color indexed="10"/>
      <name val="TH SarabunPSK"/>
      <family val="2"/>
    </font>
    <font>
      <sz val="12"/>
      <name val="Browallia New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0"/>
    </font>
    <font>
      <b/>
      <u val="single"/>
      <sz val="16"/>
      <color indexed="8"/>
      <name val="TH SarabunPSK"/>
      <family val="0"/>
    </font>
    <font>
      <b/>
      <u val="single"/>
      <sz val="16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 style="medium"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hair"/>
      <bottom style="medium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hair"/>
      <bottom style="medium"/>
    </border>
    <border>
      <left/>
      <right style="thin"/>
      <top style="hair"/>
      <bottom style="hair"/>
    </border>
    <border>
      <left style="medium"/>
      <right style="thin"/>
      <top/>
      <bottom/>
    </border>
    <border>
      <left/>
      <right/>
      <top/>
      <bottom style="double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/>
      <right style="thin"/>
      <top style="thin"/>
      <bottom style="double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 style="thin"/>
      <top style="double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tted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/>
      <top/>
      <bottom style="medium"/>
    </border>
    <border>
      <left style="thin"/>
      <right style="thick"/>
      <top style="medium"/>
      <bottom/>
    </border>
    <border>
      <left style="thin"/>
      <right style="thick"/>
      <top/>
      <bottom/>
    </border>
    <border>
      <left style="thin"/>
      <right style="thick"/>
      <top/>
      <bottom style="medium"/>
    </border>
    <border>
      <left style="thin"/>
      <right style="thick"/>
      <top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medium"/>
    </border>
    <border>
      <left style="medium"/>
      <right style="medium"/>
      <top/>
      <bottom/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/>
      <right style="thin"/>
      <top style="hair"/>
      <bottom/>
    </border>
    <border>
      <left style="hair"/>
      <right style="hair"/>
      <top style="hair"/>
      <bottom style="hair"/>
    </border>
    <border>
      <left style="thick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1" borderId="2" applyNumberFormat="0" applyAlignment="0" applyProtection="0"/>
    <xf numFmtId="0" fontId="90" fillId="0" borderId="3" applyNumberFormat="0" applyFill="0" applyAlignment="0" applyProtection="0"/>
    <xf numFmtId="0" fontId="91" fillId="22" borderId="0" applyNumberFormat="0" applyBorder="0" applyAlignment="0" applyProtection="0"/>
    <xf numFmtId="0" fontId="92" fillId="23" borderId="1" applyNumberFormat="0" applyAlignment="0" applyProtection="0"/>
    <xf numFmtId="0" fontId="93" fillId="24" borderId="0" applyNumberFormat="0" applyBorder="0" applyAlignment="0" applyProtection="0"/>
    <xf numFmtId="9" fontId="0" fillId="0" borderId="0" applyFont="0" applyFill="0" applyBorder="0" applyAlignment="0" applyProtection="0"/>
    <xf numFmtId="0" fontId="94" fillId="0" borderId="4" applyNumberFormat="0" applyFill="0" applyAlignment="0" applyProtection="0"/>
    <xf numFmtId="0" fontId="95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96" fillId="20" borderId="5" applyNumberFormat="0" applyAlignment="0" applyProtection="0"/>
    <xf numFmtId="0" fontId="0" fillId="32" borderId="6" applyNumberFormat="0" applyFont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9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852">
    <xf numFmtId="0" fontId="0" fillId="0" borderId="0" xfId="0" applyAlignment="1">
      <alignment/>
    </xf>
    <xf numFmtId="39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9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39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39" fontId="5" fillId="33" borderId="0" xfId="0" applyNumberFormat="1" applyFont="1" applyFill="1" applyAlignment="1">
      <alignment horizontal="left"/>
    </xf>
    <xf numFmtId="43" fontId="5" fillId="33" borderId="0" xfId="36" applyNumberFormat="1" applyFont="1" applyFill="1" applyBorder="1" applyAlignment="1">
      <alignment/>
    </xf>
    <xf numFmtId="43" fontId="5" fillId="33" borderId="0" xfId="0" applyNumberFormat="1" applyFont="1" applyFill="1" applyAlignment="1">
      <alignment/>
    </xf>
    <xf numFmtId="39" fontId="5" fillId="33" borderId="0" xfId="0" applyNumberFormat="1" applyFont="1" applyFill="1" applyAlignment="1">
      <alignment horizontal="center"/>
    </xf>
    <xf numFmtId="43" fontId="5" fillId="33" borderId="0" xfId="36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3" fontId="6" fillId="0" borderId="0" xfId="36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" fontId="6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36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43" fontId="15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Continuous"/>
    </xf>
    <xf numFmtId="49" fontId="2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7" fillId="0" borderId="0" xfId="0" applyFont="1" applyFill="1" applyAlignment="1">
      <alignment horizontal="centerContinuous"/>
    </xf>
    <xf numFmtId="49" fontId="1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right"/>
    </xf>
    <xf numFmtId="15" fontId="20" fillId="0" borderId="0" xfId="0" applyNumberFormat="1" applyFont="1" applyFill="1" applyAlignment="1">
      <alignment horizontal="centerContinuous"/>
    </xf>
    <xf numFmtId="4" fontId="18" fillId="0" borderId="0" xfId="0" applyNumberFormat="1" applyFont="1" applyFill="1" applyAlignment="1">
      <alignment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7" fillId="0" borderId="0" xfId="0" applyFont="1" applyAlignment="1">
      <alignment/>
    </xf>
    <xf numFmtId="49" fontId="22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4" fontId="23" fillId="0" borderId="0" xfId="0" applyNumberFormat="1" applyFont="1" applyBorder="1" applyAlignment="1">
      <alignment/>
    </xf>
    <xf numFmtId="49" fontId="23" fillId="0" borderId="0" xfId="0" applyNumberFormat="1" applyFont="1" applyAlignment="1">
      <alignment horizontal="center" vertical="center"/>
    </xf>
    <xf numFmtId="2" fontId="22" fillId="0" borderId="0" xfId="0" applyNumberFormat="1" applyFont="1" applyBorder="1" applyAlignment="1">
      <alignment/>
    </xf>
    <xf numFmtId="49" fontId="21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6" fillId="0" borderId="0" xfId="0" applyFont="1" applyAlignment="1">
      <alignment horizontal="right"/>
    </xf>
    <xf numFmtId="4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left"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6" fillId="0" borderId="19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 vertical="center"/>
    </xf>
    <xf numFmtId="43" fontId="9" fillId="0" borderId="0" xfId="36" applyFont="1" applyFill="1" applyAlignment="1">
      <alignment horizontal="centerContinuous"/>
    </xf>
    <xf numFmtId="43" fontId="18" fillId="0" borderId="0" xfId="36" applyFont="1" applyFill="1" applyAlignment="1">
      <alignment/>
    </xf>
    <xf numFmtId="43" fontId="20" fillId="0" borderId="0" xfId="36" applyFont="1" applyFill="1" applyAlignment="1">
      <alignment horizontal="centerContinuous"/>
    </xf>
    <xf numFmtId="49" fontId="20" fillId="0" borderId="20" xfId="0" applyNumberFormat="1" applyFont="1" applyFill="1" applyBorder="1" applyAlignment="1">
      <alignment horizontal="center"/>
    </xf>
    <xf numFmtId="43" fontId="20" fillId="0" borderId="20" xfId="36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Continuous"/>
    </xf>
    <xf numFmtId="43" fontId="9" fillId="0" borderId="10" xfId="36" applyFont="1" applyFill="1" applyBorder="1" applyAlignment="1">
      <alignment horizontal="centerContinuous"/>
    </xf>
    <xf numFmtId="43" fontId="11" fillId="0" borderId="10" xfId="36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center"/>
    </xf>
    <xf numFmtId="43" fontId="18" fillId="0" borderId="22" xfId="36" applyFont="1" applyFill="1" applyBorder="1" applyAlignment="1">
      <alignment horizontal="center"/>
    </xf>
    <xf numFmtId="188" fontId="18" fillId="0" borderId="21" xfId="0" applyNumberFormat="1" applyFont="1" applyFill="1" applyBorder="1" applyAlignment="1">
      <alignment/>
    </xf>
    <xf numFmtId="43" fontId="18" fillId="0" borderId="22" xfId="0" applyNumberFormat="1" applyFont="1" applyFill="1" applyBorder="1" applyAlignment="1">
      <alignment horizontal="center"/>
    </xf>
    <xf numFmtId="4" fontId="18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center"/>
    </xf>
    <xf numFmtId="43" fontId="18" fillId="0" borderId="23" xfId="36" applyFont="1" applyFill="1" applyBorder="1" applyAlignment="1">
      <alignment horizontal="center"/>
    </xf>
    <xf numFmtId="188" fontId="18" fillId="0" borderId="23" xfId="0" applyNumberFormat="1" applyFont="1" applyFill="1" applyBorder="1" applyAlignment="1">
      <alignment/>
    </xf>
    <xf numFmtId="43" fontId="18" fillId="0" borderId="23" xfId="0" applyNumberFormat="1" applyFont="1" applyFill="1" applyBorder="1" applyAlignment="1">
      <alignment horizontal="center"/>
    </xf>
    <xf numFmtId="4" fontId="18" fillId="0" borderId="23" xfId="0" applyNumberFormat="1" applyFont="1" applyFill="1" applyBorder="1" applyAlignment="1">
      <alignment/>
    </xf>
    <xf numFmtId="188" fontId="18" fillId="0" borderId="23" xfId="0" applyNumberFormat="1" applyFont="1" applyFill="1" applyBorder="1" applyAlignment="1">
      <alignment horizontal="right"/>
    </xf>
    <xf numFmtId="4" fontId="18" fillId="0" borderId="23" xfId="0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horizontal="centerContinuous"/>
    </xf>
    <xf numFmtId="43" fontId="18" fillId="0" borderId="24" xfId="36" applyFont="1" applyFill="1" applyBorder="1" applyAlignment="1">
      <alignment horizontal="centerContinuous"/>
    </xf>
    <xf numFmtId="43" fontId="17" fillId="0" borderId="24" xfId="0" applyNumberFormat="1" applyFont="1" applyFill="1" applyBorder="1" applyAlignment="1">
      <alignment horizontal="centerContinuous" vertical="center"/>
    </xf>
    <xf numFmtId="43" fontId="17" fillId="34" borderId="24" xfId="0" applyNumberFormat="1" applyFont="1" applyFill="1" applyBorder="1" applyAlignment="1">
      <alignment/>
    </xf>
    <xf numFmtId="4" fontId="17" fillId="0" borderId="24" xfId="0" applyNumberFormat="1" applyFont="1" applyFill="1" applyBorder="1" applyAlignment="1">
      <alignment/>
    </xf>
    <xf numFmtId="4" fontId="17" fillId="34" borderId="24" xfId="0" applyNumberFormat="1" applyFont="1" applyFill="1" applyBorder="1" applyAlignment="1">
      <alignment/>
    </xf>
    <xf numFmtId="43" fontId="9" fillId="0" borderId="0" xfId="36" applyFont="1" applyFill="1" applyAlignment="1">
      <alignment/>
    </xf>
    <xf numFmtId="0" fontId="9" fillId="0" borderId="10" xfId="0" applyFont="1" applyFill="1" applyBorder="1" applyAlignment="1">
      <alignment horizontal="center"/>
    </xf>
    <xf numFmtId="43" fontId="9" fillId="0" borderId="10" xfId="36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/>
    </xf>
    <xf numFmtId="49" fontId="11" fillId="0" borderId="25" xfId="0" applyNumberFormat="1" applyFont="1" applyFill="1" applyBorder="1" applyAlignment="1">
      <alignment horizontal="center"/>
    </xf>
    <xf numFmtId="4" fontId="11" fillId="0" borderId="2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9" fontId="6" fillId="0" borderId="0" xfId="0" applyNumberFormat="1" applyFont="1" applyAlignment="1">
      <alignment horizontal="left" vertical="center"/>
    </xf>
    <xf numFmtId="0" fontId="18" fillId="0" borderId="23" xfId="0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18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Continuous"/>
    </xf>
    <xf numFmtId="43" fontId="18" fillId="0" borderId="23" xfId="36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188" fontId="18" fillId="0" borderId="23" xfId="36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7" fillId="0" borderId="0" xfId="0" applyFont="1" applyAlignment="1">
      <alignment/>
    </xf>
    <xf numFmtId="0" fontId="29" fillId="0" borderId="0" xfId="0" applyFont="1" applyAlignment="1">
      <alignment/>
    </xf>
    <xf numFmtId="49" fontId="18" fillId="0" borderId="29" xfId="0" applyNumberFormat="1" applyFont="1" applyBorder="1" applyAlignment="1">
      <alignment horizontal="center"/>
    </xf>
    <xf numFmtId="0" fontId="18" fillId="0" borderId="30" xfId="0" applyFont="1" applyBorder="1" applyAlignment="1">
      <alignment/>
    </xf>
    <xf numFmtId="0" fontId="9" fillId="0" borderId="0" xfId="0" applyFont="1" applyAlignment="1">
      <alignment horizontal="right"/>
    </xf>
    <xf numFmtId="15" fontId="9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10" fillId="0" borderId="17" xfId="0" applyFont="1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8" fillId="0" borderId="18" xfId="0" applyFont="1" applyBorder="1" applyAlignment="1">
      <alignment/>
    </xf>
    <xf numFmtId="0" fontId="30" fillId="0" borderId="28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27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31" fillId="0" borderId="15" xfId="0" applyFont="1" applyBorder="1" applyAlignment="1">
      <alignment/>
    </xf>
    <xf numFmtId="49" fontId="31" fillId="0" borderId="13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16" xfId="0" applyFont="1" applyFill="1" applyBorder="1" applyAlignment="1">
      <alignment/>
    </xf>
    <xf numFmtId="49" fontId="31" fillId="0" borderId="14" xfId="0" applyNumberFormat="1" applyFont="1" applyFill="1" applyBorder="1" applyAlignment="1">
      <alignment horizontal="center"/>
    </xf>
    <xf numFmtId="0" fontId="31" fillId="0" borderId="16" xfId="0" applyFont="1" applyBorder="1" applyAlignment="1">
      <alignment/>
    </xf>
    <xf numFmtId="49" fontId="31" fillId="0" borderId="14" xfId="0" applyNumberFormat="1" applyFont="1" applyBorder="1" applyAlignment="1">
      <alignment horizontal="center"/>
    </xf>
    <xf numFmtId="43" fontId="31" fillId="0" borderId="14" xfId="36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18" xfId="0" applyFont="1" applyBorder="1" applyAlignment="1">
      <alignment/>
    </xf>
    <xf numFmtId="49" fontId="30" fillId="0" borderId="19" xfId="0" applyNumberFormat="1" applyFont="1" applyBorder="1" applyAlignment="1">
      <alignment horizontal="center"/>
    </xf>
    <xf numFmtId="0" fontId="32" fillId="0" borderId="11" xfId="0" applyFont="1" applyBorder="1" applyAlignment="1">
      <alignment/>
    </xf>
    <xf numFmtId="0" fontId="30" fillId="0" borderId="32" xfId="0" applyFont="1" applyBorder="1" applyAlignment="1">
      <alignment/>
    </xf>
    <xf numFmtId="0" fontId="30" fillId="0" borderId="32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32" fillId="0" borderId="15" xfId="0" applyFont="1" applyBorder="1" applyAlignment="1">
      <alignment/>
    </xf>
    <xf numFmtId="188" fontId="31" fillId="0" borderId="14" xfId="36" applyNumberFormat="1" applyFont="1" applyBorder="1" applyAlignment="1">
      <alignment/>
    </xf>
    <xf numFmtId="43" fontId="30" fillId="34" borderId="10" xfId="0" applyNumberFormat="1" applyFont="1" applyFill="1" applyBorder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2" fontId="6" fillId="0" borderId="14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4" fontId="33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4" fontId="34" fillId="0" borderId="33" xfId="0" applyNumberFormat="1" applyFont="1" applyBorder="1" applyAlignment="1">
      <alignment/>
    </xf>
    <xf numFmtId="0" fontId="33" fillId="0" borderId="0" xfId="0" applyFont="1" applyAlignment="1">
      <alignment horizontal="center"/>
    </xf>
    <xf numFmtId="4" fontId="33" fillId="0" borderId="0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4" fontId="33" fillId="0" borderId="20" xfId="0" applyNumberFormat="1" applyFont="1" applyBorder="1" applyAlignment="1">
      <alignment/>
    </xf>
    <xf numFmtId="4" fontId="33" fillId="0" borderId="33" xfId="0" applyNumberFormat="1" applyFont="1" applyBorder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1" fillId="0" borderId="0" xfId="36" applyFont="1" applyAlignment="1">
      <alignment/>
    </xf>
    <xf numFmtId="43" fontId="35" fillId="0" borderId="0" xfId="36" applyFont="1" applyAlignment="1">
      <alignment/>
    </xf>
    <xf numFmtId="43" fontId="36" fillId="0" borderId="0" xfId="36" applyFont="1" applyAlignment="1">
      <alignment/>
    </xf>
    <xf numFmtId="43" fontId="35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0" fillId="0" borderId="34" xfId="0" applyFont="1" applyBorder="1" applyAlignment="1">
      <alignment/>
    </xf>
    <xf numFmtId="0" fontId="35" fillId="0" borderId="35" xfId="0" applyFont="1" applyBorder="1" applyAlignment="1">
      <alignment/>
    </xf>
    <xf numFmtId="39" fontId="35" fillId="33" borderId="35" xfId="0" applyNumberFormat="1" applyFont="1" applyFill="1" applyBorder="1" applyAlignment="1">
      <alignment horizontal="left"/>
    </xf>
    <xf numFmtId="0" fontId="36" fillId="0" borderId="35" xfId="0" applyFont="1" applyBorder="1" applyAlignment="1">
      <alignment/>
    </xf>
    <xf numFmtId="0" fontId="30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/>
    </xf>
    <xf numFmtId="43" fontId="35" fillId="0" borderId="39" xfId="36" applyFont="1" applyBorder="1" applyAlignment="1">
      <alignment/>
    </xf>
    <xf numFmtId="43" fontId="30" fillId="0" borderId="40" xfId="36" applyFont="1" applyBorder="1" applyAlignment="1">
      <alignment/>
    </xf>
    <xf numFmtId="43" fontId="35" fillId="0" borderId="41" xfId="36" applyFont="1" applyBorder="1" applyAlignment="1">
      <alignment/>
    </xf>
    <xf numFmtId="43" fontId="36" fillId="0" borderId="41" xfId="36" applyFont="1" applyBorder="1" applyAlignment="1">
      <alignment/>
    </xf>
    <xf numFmtId="43" fontId="36" fillId="0" borderId="42" xfId="36" applyFont="1" applyBorder="1" applyAlignment="1">
      <alignment/>
    </xf>
    <xf numFmtId="0" fontId="28" fillId="0" borderId="36" xfId="0" applyFont="1" applyBorder="1" applyAlignment="1">
      <alignment/>
    </xf>
    <xf numFmtId="0" fontId="30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43" fontId="35" fillId="0" borderId="43" xfId="36" applyFont="1" applyBorder="1" applyAlignment="1">
      <alignment/>
    </xf>
    <xf numFmtId="43" fontId="35" fillId="0" borderId="44" xfId="36" applyFont="1" applyBorder="1" applyAlignment="1">
      <alignment/>
    </xf>
    <xf numFmtId="43" fontId="35" fillId="0" borderId="45" xfId="36" applyFont="1" applyBorder="1" applyAlignment="1">
      <alignment/>
    </xf>
    <xf numFmtId="0" fontId="37" fillId="0" borderId="37" xfId="0" applyFont="1" applyBorder="1" applyAlignment="1">
      <alignment/>
    </xf>
    <xf numFmtId="0" fontId="37" fillId="0" borderId="38" xfId="0" applyFont="1" applyBorder="1" applyAlignment="1">
      <alignment/>
    </xf>
    <xf numFmtId="0" fontId="36" fillId="0" borderId="43" xfId="0" applyFont="1" applyBorder="1" applyAlignment="1">
      <alignment/>
    </xf>
    <xf numFmtId="43" fontId="28" fillId="0" borderId="46" xfId="36" applyFont="1" applyBorder="1" applyAlignment="1">
      <alignment/>
    </xf>
    <xf numFmtId="43" fontId="35" fillId="0" borderId="47" xfId="36" applyFont="1" applyBorder="1" applyAlignment="1">
      <alignment/>
    </xf>
    <xf numFmtId="0" fontId="36" fillId="0" borderId="48" xfId="0" applyFont="1" applyBorder="1" applyAlignment="1">
      <alignment/>
    </xf>
    <xf numFmtId="0" fontId="35" fillId="0" borderId="43" xfId="0" applyFont="1" applyBorder="1" applyAlignment="1">
      <alignment/>
    </xf>
    <xf numFmtId="43" fontId="28" fillId="0" borderId="49" xfId="36" applyFont="1" applyBorder="1" applyAlignment="1">
      <alignment/>
    </xf>
    <xf numFmtId="43" fontId="35" fillId="0" borderId="50" xfId="36" applyFont="1" applyBorder="1" applyAlignment="1">
      <alignment/>
    </xf>
    <xf numFmtId="43" fontId="35" fillId="0" borderId="51" xfId="36" applyFont="1" applyBorder="1" applyAlignment="1">
      <alignment/>
    </xf>
    <xf numFmtId="43" fontId="35" fillId="0" borderId="52" xfId="36" applyFont="1" applyBorder="1" applyAlignment="1">
      <alignment/>
    </xf>
    <xf numFmtId="43" fontId="35" fillId="0" borderId="53" xfId="36" applyFont="1" applyBorder="1" applyAlignment="1">
      <alignment/>
    </xf>
    <xf numFmtId="43" fontId="36" fillId="0" borderId="54" xfId="36" applyFont="1" applyBorder="1" applyAlignment="1">
      <alignment/>
    </xf>
    <xf numFmtId="43" fontId="35" fillId="0" borderId="55" xfId="36" applyFont="1" applyBorder="1" applyAlignment="1">
      <alignment/>
    </xf>
    <xf numFmtId="43" fontId="35" fillId="0" borderId="56" xfId="36" applyFont="1" applyBorder="1" applyAlignment="1">
      <alignment/>
    </xf>
    <xf numFmtId="43" fontId="35" fillId="0" borderId="57" xfId="36" applyFont="1" applyBorder="1" applyAlignment="1">
      <alignment/>
    </xf>
    <xf numFmtId="43" fontId="35" fillId="0" borderId="58" xfId="36" applyFont="1" applyBorder="1" applyAlignment="1">
      <alignment/>
    </xf>
    <xf numFmtId="43" fontId="35" fillId="0" borderId="59" xfId="36" applyFont="1" applyBorder="1" applyAlignment="1">
      <alignment/>
    </xf>
    <xf numFmtId="0" fontId="30" fillId="0" borderId="0" xfId="0" applyFont="1" applyAlignment="1">
      <alignment horizontal="center"/>
    </xf>
    <xf numFmtId="39" fontId="35" fillId="33" borderId="0" xfId="0" applyNumberFormat="1" applyFont="1" applyFill="1" applyBorder="1" applyAlignment="1">
      <alignment/>
    </xf>
    <xf numFmtId="0" fontId="35" fillId="33" borderId="0" xfId="0" applyFont="1" applyFill="1" applyBorder="1" applyAlignment="1">
      <alignment/>
    </xf>
    <xf numFmtId="39" fontId="35" fillId="33" borderId="0" xfId="0" applyNumberFormat="1" applyFont="1" applyFill="1" applyAlignment="1">
      <alignment/>
    </xf>
    <xf numFmtId="39" fontId="28" fillId="33" borderId="60" xfId="0" applyNumberFormat="1" applyFont="1" applyFill="1" applyBorder="1" applyAlignment="1">
      <alignment horizontal="center"/>
    </xf>
    <xf numFmtId="0" fontId="35" fillId="33" borderId="0" xfId="0" applyFont="1" applyFill="1" applyAlignment="1">
      <alignment/>
    </xf>
    <xf numFmtId="39" fontId="28" fillId="33" borderId="61" xfId="0" applyNumberFormat="1" applyFont="1" applyFill="1" applyBorder="1" applyAlignment="1">
      <alignment horizontal="center"/>
    </xf>
    <xf numFmtId="39" fontId="28" fillId="33" borderId="62" xfId="0" applyNumberFormat="1" applyFont="1" applyFill="1" applyBorder="1" applyAlignment="1">
      <alignment horizontal="center"/>
    </xf>
    <xf numFmtId="39" fontId="28" fillId="33" borderId="62" xfId="0" applyNumberFormat="1" applyFont="1" applyFill="1" applyBorder="1" applyAlignment="1" quotePrefix="1">
      <alignment horizontal="center"/>
    </xf>
    <xf numFmtId="39" fontId="35" fillId="33" borderId="63" xfId="0" applyNumberFormat="1" applyFont="1" applyFill="1" applyBorder="1" applyAlignment="1">
      <alignment horizontal="center"/>
    </xf>
    <xf numFmtId="39" fontId="35" fillId="33" borderId="64" xfId="0" applyNumberFormat="1" applyFont="1" applyFill="1" applyBorder="1" applyAlignment="1">
      <alignment horizontal="center"/>
    </xf>
    <xf numFmtId="43" fontId="35" fillId="33" borderId="65" xfId="36" applyFont="1" applyFill="1" applyBorder="1" applyAlignment="1">
      <alignment horizontal="center"/>
    </xf>
    <xf numFmtId="43" fontId="35" fillId="33" borderId="63" xfId="36" applyFont="1" applyFill="1" applyBorder="1" applyAlignment="1">
      <alignment horizontal="center"/>
    </xf>
    <xf numFmtId="39" fontId="35" fillId="33" borderId="37" xfId="0" applyNumberFormat="1" applyFont="1" applyFill="1" applyBorder="1" applyAlignment="1">
      <alignment horizontal="left"/>
    </xf>
    <xf numFmtId="43" fontId="35" fillId="33" borderId="66" xfId="36" applyNumberFormat="1" applyFont="1" applyFill="1" applyBorder="1" applyAlignment="1">
      <alignment horizontal="right"/>
    </xf>
    <xf numFmtId="43" fontId="35" fillId="33" borderId="41" xfId="36" applyNumberFormat="1" applyFont="1" applyFill="1" applyBorder="1" applyAlignment="1">
      <alignment horizontal="right"/>
    </xf>
    <xf numFmtId="43" fontId="35" fillId="33" borderId="44" xfId="36" applyNumberFormat="1" applyFont="1" applyFill="1" applyBorder="1" applyAlignment="1">
      <alignment horizontal="right"/>
    </xf>
    <xf numFmtId="43" fontId="35" fillId="33" borderId="67" xfId="36" applyNumberFormat="1" applyFont="1" applyFill="1" applyBorder="1" applyAlignment="1">
      <alignment horizontal="right"/>
    </xf>
    <xf numFmtId="43" fontId="35" fillId="33" borderId="68" xfId="36" applyNumberFormat="1" applyFont="1" applyFill="1" applyBorder="1" applyAlignment="1">
      <alignment horizontal="right"/>
    </xf>
    <xf numFmtId="43" fontId="35" fillId="33" borderId="48" xfId="36" applyNumberFormat="1" applyFont="1" applyFill="1" applyBorder="1" applyAlignment="1">
      <alignment horizontal="right"/>
    </xf>
    <xf numFmtId="43" fontId="35" fillId="33" borderId="66" xfId="0" applyNumberFormat="1" applyFont="1" applyFill="1" applyBorder="1" applyAlignment="1">
      <alignment/>
    </xf>
    <xf numFmtId="43" fontId="35" fillId="33" borderId="48" xfId="0" applyNumberFormat="1" applyFont="1" applyFill="1" applyBorder="1" applyAlignment="1">
      <alignment/>
    </xf>
    <xf numFmtId="39" fontId="35" fillId="33" borderId="66" xfId="0" applyNumberFormat="1" applyFont="1" applyFill="1" applyBorder="1" applyAlignment="1">
      <alignment/>
    </xf>
    <xf numFmtId="43" fontId="35" fillId="33" borderId="69" xfId="36" applyNumberFormat="1" applyFont="1" applyFill="1" applyBorder="1" applyAlignment="1">
      <alignment horizontal="right"/>
    </xf>
    <xf numFmtId="43" fontId="35" fillId="33" borderId="70" xfId="36" applyNumberFormat="1" applyFont="1" applyFill="1" applyBorder="1" applyAlignment="1">
      <alignment horizontal="right"/>
    </xf>
    <xf numFmtId="43" fontId="35" fillId="33" borderId="71" xfId="0" applyNumberFormat="1" applyFont="1" applyFill="1" applyBorder="1" applyAlignment="1">
      <alignment horizontal="right"/>
    </xf>
    <xf numFmtId="43" fontId="35" fillId="33" borderId="71" xfId="0" applyNumberFormat="1" applyFont="1" applyFill="1" applyBorder="1" applyAlignment="1">
      <alignment/>
    </xf>
    <xf numFmtId="43" fontId="35" fillId="33" borderId="71" xfId="36" applyNumberFormat="1" applyFont="1" applyFill="1" applyBorder="1" applyAlignment="1">
      <alignment horizontal="right"/>
    </xf>
    <xf numFmtId="43" fontId="35" fillId="33" borderId="66" xfId="36" applyFont="1" applyFill="1" applyBorder="1" applyAlignment="1">
      <alignment horizontal="right"/>
    </xf>
    <xf numFmtId="43" fontId="35" fillId="33" borderId="43" xfId="36" applyNumberFormat="1" applyFont="1" applyFill="1" applyBorder="1" applyAlignment="1">
      <alignment horizontal="right"/>
    </xf>
    <xf numFmtId="43" fontId="35" fillId="33" borderId="72" xfId="36" applyNumberFormat="1" applyFont="1" applyFill="1" applyBorder="1" applyAlignment="1">
      <alignment horizontal="right"/>
    </xf>
    <xf numFmtId="43" fontId="35" fillId="33" borderId="62" xfId="36" applyNumberFormat="1" applyFont="1" applyFill="1" applyBorder="1" applyAlignment="1">
      <alignment horizontal="right"/>
    </xf>
    <xf numFmtId="43" fontId="35" fillId="33" borderId="65" xfId="36" applyNumberFormat="1" applyFont="1" applyFill="1" applyBorder="1" applyAlignment="1">
      <alignment horizontal="right"/>
    </xf>
    <xf numFmtId="43" fontId="35" fillId="33" borderId="0" xfId="36" applyNumberFormat="1" applyFont="1" applyFill="1" applyBorder="1" applyAlignment="1">
      <alignment horizontal="right"/>
    </xf>
    <xf numFmtId="43" fontId="35" fillId="33" borderId="72" xfId="0" applyNumberFormat="1" applyFont="1" applyFill="1" applyBorder="1" applyAlignment="1">
      <alignment/>
    </xf>
    <xf numFmtId="43" fontId="35" fillId="33" borderId="73" xfId="36" applyNumberFormat="1" applyFont="1" applyFill="1" applyBorder="1" applyAlignment="1">
      <alignment horizontal="right"/>
    </xf>
    <xf numFmtId="39" fontId="38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0" fontId="38" fillId="33" borderId="0" xfId="0" applyFont="1" applyFill="1" applyAlignment="1">
      <alignment/>
    </xf>
    <xf numFmtId="39" fontId="35" fillId="33" borderId="0" xfId="0" applyNumberFormat="1" applyFont="1" applyFill="1" applyAlignment="1">
      <alignment horizontal="left"/>
    </xf>
    <xf numFmtId="43" fontId="35" fillId="33" borderId="0" xfId="36" applyNumberFormat="1" applyFont="1" applyFill="1" applyBorder="1" applyAlignment="1">
      <alignment/>
    </xf>
    <xf numFmtId="49" fontId="42" fillId="33" borderId="0" xfId="36" applyNumberFormat="1" applyFont="1" applyFill="1" applyBorder="1" applyAlignment="1">
      <alignment horizontal="center"/>
    </xf>
    <xf numFmtId="43" fontId="42" fillId="33" borderId="0" xfId="36" applyNumberFormat="1" applyFont="1" applyFill="1" applyBorder="1" applyAlignment="1">
      <alignment/>
    </xf>
    <xf numFmtId="49" fontId="35" fillId="33" borderId="0" xfId="36" applyNumberFormat="1" applyFont="1" applyFill="1" applyBorder="1" applyAlignment="1">
      <alignment horizontal="center"/>
    </xf>
    <xf numFmtId="43" fontId="35" fillId="33" borderId="0" xfId="36" applyFont="1" applyFill="1" applyBorder="1" applyAlignment="1">
      <alignment/>
    </xf>
    <xf numFmtId="43" fontId="35" fillId="33" borderId="0" xfId="36" applyFont="1" applyFill="1" applyAlignment="1">
      <alignment/>
    </xf>
    <xf numFmtId="49" fontId="35" fillId="33" borderId="0" xfId="36" applyNumberFormat="1" applyFont="1" applyFill="1" applyAlignment="1">
      <alignment horizontal="center"/>
    </xf>
    <xf numFmtId="0" fontId="3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5" fillId="0" borderId="21" xfId="0" applyFont="1" applyFill="1" applyBorder="1" applyAlignment="1">
      <alignment horizontal="left"/>
    </xf>
    <xf numFmtId="49" fontId="28" fillId="0" borderId="2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3" fontId="28" fillId="0" borderId="0" xfId="0" applyNumberFormat="1" applyFont="1" applyFill="1" applyBorder="1" applyAlignment="1">
      <alignment horizontal="center"/>
    </xf>
    <xf numFmtId="43" fontId="28" fillId="0" borderId="20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5" fillId="0" borderId="14" xfId="0" applyFont="1" applyFill="1" applyBorder="1" applyAlignment="1">
      <alignment/>
    </xf>
    <xf numFmtId="43" fontId="35" fillId="0" borderId="14" xfId="0" applyNumberFormat="1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49" fontId="35" fillId="0" borderId="14" xfId="0" applyNumberFormat="1" applyFont="1" applyFill="1" applyBorder="1" applyAlignment="1">
      <alignment horizontal="center"/>
    </xf>
    <xf numFmtId="43" fontId="35" fillId="0" borderId="14" xfId="36" applyFont="1" applyFill="1" applyBorder="1" applyAlignment="1">
      <alignment horizontal="center"/>
    </xf>
    <xf numFmtId="43" fontId="35" fillId="0" borderId="14" xfId="0" applyNumberFormat="1" applyFont="1" applyFill="1" applyBorder="1" applyAlignment="1">
      <alignment horizontal="center"/>
    </xf>
    <xf numFmtId="43" fontId="35" fillId="0" borderId="14" xfId="36" applyFont="1" applyFill="1" applyBorder="1" applyAlignment="1">
      <alignment/>
    </xf>
    <xf numFmtId="0" fontId="28" fillId="0" borderId="15" xfId="0" applyFont="1" applyFill="1" applyBorder="1" applyAlignment="1">
      <alignment horizontal="center"/>
    </xf>
    <xf numFmtId="43" fontId="28" fillId="0" borderId="25" xfId="0" applyNumberFormat="1" applyFont="1" applyFill="1" applyBorder="1" applyAlignment="1">
      <alignment/>
    </xf>
    <xf numFmtId="43" fontId="28" fillId="0" borderId="14" xfId="0" applyNumberFormat="1" applyFont="1" applyFill="1" applyBorder="1" applyAlignment="1">
      <alignment/>
    </xf>
    <xf numFmtId="43" fontId="35" fillId="0" borderId="14" xfId="36" applyNumberFormat="1" applyFont="1" applyFill="1" applyBorder="1" applyAlignment="1">
      <alignment/>
    </xf>
    <xf numFmtId="49" fontId="28" fillId="0" borderId="14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center"/>
    </xf>
    <xf numFmtId="43" fontId="28" fillId="0" borderId="25" xfId="0" applyNumberFormat="1" applyFont="1" applyFill="1" applyBorder="1" applyAlignment="1">
      <alignment horizontal="center"/>
    </xf>
    <xf numFmtId="43" fontId="28" fillId="0" borderId="14" xfId="0" applyNumberFormat="1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28" fillId="0" borderId="19" xfId="0" applyFont="1" applyFill="1" applyBorder="1" applyAlignment="1">
      <alignment/>
    </xf>
    <xf numFmtId="0" fontId="37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/>
    </xf>
    <xf numFmtId="43" fontId="35" fillId="0" borderId="14" xfId="36" applyNumberFormat="1" applyFont="1" applyFill="1" applyBorder="1" applyAlignment="1">
      <alignment horizontal="center"/>
    </xf>
    <xf numFmtId="0" fontId="35" fillId="0" borderId="14" xfId="0" applyFont="1" applyFill="1" applyBorder="1" applyAlignment="1">
      <alignment horizontal="left"/>
    </xf>
    <xf numFmtId="43" fontId="35" fillId="0" borderId="15" xfId="0" applyNumberFormat="1" applyFont="1" applyFill="1" applyBorder="1" applyAlignment="1">
      <alignment/>
    </xf>
    <xf numFmtId="49" fontId="35" fillId="0" borderId="15" xfId="0" applyNumberFormat="1" applyFont="1" applyFill="1" applyBorder="1" applyAlignment="1">
      <alignment horizontal="center"/>
    </xf>
    <xf numFmtId="43" fontId="28" fillId="0" borderId="19" xfId="0" applyNumberFormat="1" applyFont="1" applyFill="1" applyBorder="1" applyAlignment="1">
      <alignment horizontal="center"/>
    </xf>
    <xf numFmtId="43" fontId="35" fillId="0" borderId="25" xfId="0" applyNumberFormat="1" applyFont="1" applyFill="1" applyBorder="1" applyAlignment="1">
      <alignment horizontal="center"/>
    </xf>
    <xf numFmtId="43" fontId="28" fillId="0" borderId="74" xfId="0" applyNumberFormat="1" applyFont="1" applyFill="1" applyBorder="1" applyAlignment="1">
      <alignment/>
    </xf>
    <xf numFmtId="43" fontId="28" fillId="0" borderId="0" xfId="0" applyNumberFormat="1" applyFont="1" applyFill="1" applyAlignment="1">
      <alignment/>
    </xf>
    <xf numFmtId="43" fontId="35" fillId="0" borderId="0" xfId="0" applyNumberFormat="1" applyFont="1" applyFill="1" applyAlignment="1">
      <alignment/>
    </xf>
    <xf numFmtId="43" fontId="35" fillId="0" borderId="13" xfId="0" applyNumberFormat="1" applyFont="1" applyFill="1" applyBorder="1" applyAlignment="1">
      <alignment/>
    </xf>
    <xf numFmtId="49" fontId="28" fillId="0" borderId="14" xfId="0" applyNumberFormat="1" applyFont="1" applyFill="1" applyBorder="1" applyAlignment="1">
      <alignment horizontal="center"/>
    </xf>
    <xf numFmtId="49" fontId="28" fillId="0" borderId="25" xfId="0" applyNumberFormat="1" applyFont="1" applyFill="1" applyBorder="1" applyAlignment="1">
      <alignment horizontal="center"/>
    </xf>
    <xf numFmtId="0" fontId="37" fillId="0" borderId="14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88" fontId="35" fillId="0" borderId="14" xfId="36" applyNumberFormat="1" applyFont="1" applyFill="1" applyBorder="1" applyAlignment="1">
      <alignment/>
    </xf>
    <xf numFmtId="0" fontId="35" fillId="0" borderId="21" xfId="0" applyFont="1" applyFill="1" applyBorder="1" applyAlignment="1">
      <alignment/>
    </xf>
    <xf numFmtId="49" fontId="35" fillId="0" borderId="21" xfId="0" applyNumberFormat="1" applyFont="1" applyFill="1" applyBorder="1" applyAlignment="1">
      <alignment horizontal="center"/>
    </xf>
    <xf numFmtId="188" fontId="28" fillId="0" borderId="21" xfId="36" applyNumberFormat="1" applyFont="1" applyFill="1" applyBorder="1" applyAlignment="1">
      <alignment horizontal="right"/>
    </xf>
    <xf numFmtId="43" fontId="28" fillId="0" borderId="21" xfId="0" applyNumberFormat="1" applyFont="1" applyFill="1" applyBorder="1" applyAlignment="1">
      <alignment horizontal="right"/>
    </xf>
    <xf numFmtId="43" fontId="28" fillId="0" borderId="21" xfId="36" applyNumberFormat="1" applyFont="1" applyFill="1" applyBorder="1" applyAlignment="1">
      <alignment horizontal="right"/>
    </xf>
    <xf numFmtId="0" fontId="35" fillId="0" borderId="23" xfId="0" applyFont="1" applyFill="1" applyBorder="1" applyAlignment="1">
      <alignment/>
    </xf>
    <xf numFmtId="49" fontId="35" fillId="0" borderId="23" xfId="0" applyNumberFormat="1" applyFont="1" applyFill="1" applyBorder="1" applyAlignment="1">
      <alignment horizontal="center"/>
    </xf>
    <xf numFmtId="188" fontId="35" fillId="0" borderId="23" xfId="36" applyNumberFormat="1" applyFont="1" applyFill="1" applyBorder="1" applyAlignment="1">
      <alignment horizontal="right"/>
    </xf>
    <xf numFmtId="188" fontId="35" fillId="0" borderId="23" xfId="0" applyNumberFormat="1" applyFont="1" applyFill="1" applyBorder="1" applyAlignment="1">
      <alignment horizontal="right"/>
    </xf>
    <xf numFmtId="188" fontId="35" fillId="0" borderId="23" xfId="36" applyNumberFormat="1" applyFont="1" applyFill="1" applyBorder="1" applyAlignment="1">
      <alignment/>
    </xf>
    <xf numFmtId="0" fontId="35" fillId="0" borderId="23" xfId="0" applyFont="1" applyFill="1" applyBorder="1" applyAlignment="1">
      <alignment horizontal="left"/>
    </xf>
    <xf numFmtId="188" fontId="35" fillId="0" borderId="26" xfId="0" applyNumberFormat="1" applyFont="1" applyFill="1" applyBorder="1" applyAlignment="1">
      <alignment horizontal="right"/>
    </xf>
    <xf numFmtId="49" fontId="35" fillId="0" borderId="26" xfId="0" applyNumberFormat="1" applyFont="1" applyFill="1" applyBorder="1" applyAlignment="1">
      <alignment horizontal="center"/>
    </xf>
    <xf numFmtId="188" fontId="35" fillId="0" borderId="23" xfId="0" applyNumberFormat="1" applyFont="1" applyFill="1" applyBorder="1" applyAlignment="1">
      <alignment/>
    </xf>
    <xf numFmtId="0" fontId="35" fillId="0" borderId="23" xfId="0" applyFont="1" applyFill="1" applyBorder="1" applyAlignment="1">
      <alignment horizontal="center"/>
    </xf>
    <xf numFmtId="188" fontId="35" fillId="0" borderId="14" xfId="0" applyNumberFormat="1" applyFont="1" applyFill="1" applyBorder="1" applyAlignment="1">
      <alignment/>
    </xf>
    <xf numFmtId="188" fontId="35" fillId="0" borderId="14" xfId="36" applyNumberFormat="1" applyFont="1" applyFill="1" applyBorder="1" applyAlignment="1">
      <alignment horizontal="right"/>
    </xf>
    <xf numFmtId="43" fontId="28" fillId="34" borderId="25" xfId="0" applyNumberFormat="1" applyFont="1" applyFill="1" applyBorder="1" applyAlignment="1">
      <alignment/>
    </xf>
    <xf numFmtId="43" fontId="28" fillId="34" borderId="25" xfId="0" applyNumberFormat="1" applyFont="1" applyFill="1" applyBorder="1" applyAlignment="1">
      <alignment horizontal="right"/>
    </xf>
    <xf numFmtId="43" fontId="28" fillId="34" borderId="25" xfId="0" applyNumberFormat="1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188" fontId="35" fillId="0" borderId="21" xfId="0" applyNumberFormat="1" applyFont="1" applyFill="1" applyBorder="1" applyAlignment="1">
      <alignment/>
    </xf>
    <xf numFmtId="188" fontId="35" fillId="0" borderId="21" xfId="0" applyNumberFormat="1" applyFont="1" applyFill="1" applyBorder="1" applyAlignment="1">
      <alignment horizontal="right"/>
    </xf>
    <xf numFmtId="0" fontId="28" fillId="0" borderId="21" xfId="0" applyFont="1" applyFill="1" applyBorder="1" applyAlignment="1">
      <alignment horizontal="left"/>
    </xf>
    <xf numFmtId="188" fontId="35" fillId="0" borderId="14" xfId="0" applyNumberFormat="1" applyFont="1" applyFill="1" applyBorder="1" applyAlignment="1">
      <alignment horizontal="right"/>
    </xf>
    <xf numFmtId="188" fontId="28" fillId="34" borderId="19" xfId="0" applyNumberFormat="1" applyFont="1" applyFill="1" applyBorder="1" applyAlignment="1">
      <alignment/>
    </xf>
    <xf numFmtId="188" fontId="28" fillId="34" borderId="19" xfId="0" applyNumberFormat="1" applyFont="1" applyFill="1" applyBorder="1" applyAlignment="1">
      <alignment horizontal="right"/>
    </xf>
    <xf numFmtId="0" fontId="28" fillId="35" borderId="13" xfId="0" applyFont="1" applyFill="1" applyBorder="1" applyAlignment="1">
      <alignment horizontal="center"/>
    </xf>
    <xf numFmtId="0" fontId="35" fillId="35" borderId="13" xfId="0" applyFont="1" applyFill="1" applyBorder="1" applyAlignment="1">
      <alignment horizontal="center"/>
    </xf>
    <xf numFmtId="188" fontId="28" fillId="35" borderId="25" xfId="0" applyNumberFormat="1" applyFont="1" applyFill="1" applyBorder="1" applyAlignment="1">
      <alignment/>
    </xf>
    <xf numFmtId="43" fontId="28" fillId="35" borderId="25" xfId="0" applyNumberFormat="1" applyFont="1" applyFill="1" applyBorder="1" applyAlignment="1">
      <alignment horizontal="right"/>
    </xf>
    <xf numFmtId="188" fontId="35" fillId="0" borderId="21" xfId="36" applyNumberFormat="1" applyFont="1" applyFill="1" applyBorder="1" applyAlignment="1">
      <alignment horizontal="right"/>
    </xf>
    <xf numFmtId="0" fontId="28" fillId="35" borderId="10" xfId="0" applyFont="1" applyFill="1" applyBorder="1" applyAlignment="1">
      <alignment horizontal="center"/>
    </xf>
    <xf numFmtId="0" fontId="28" fillId="35" borderId="10" xfId="0" applyFont="1" applyFill="1" applyBorder="1" applyAlignment="1">
      <alignment/>
    </xf>
    <xf numFmtId="188" fontId="28" fillId="35" borderId="24" xfId="36" applyNumberFormat="1" applyFont="1" applyFill="1" applyBorder="1" applyAlignment="1">
      <alignment horizontal="right"/>
    </xf>
    <xf numFmtId="188" fontId="28" fillId="35" borderId="24" xfId="0" applyNumberFormat="1" applyFont="1" applyFill="1" applyBorder="1" applyAlignment="1">
      <alignment horizontal="right"/>
    </xf>
    <xf numFmtId="43" fontId="28" fillId="35" borderId="24" xfId="0" applyNumberFormat="1" applyFont="1" applyFill="1" applyBorder="1" applyAlignment="1">
      <alignment/>
    </xf>
    <xf numFmtId="49" fontId="28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 horizontal="center"/>
    </xf>
    <xf numFmtId="43" fontId="35" fillId="0" borderId="19" xfId="36" applyFont="1" applyFill="1" applyBorder="1" applyAlignment="1">
      <alignment/>
    </xf>
    <xf numFmtId="43" fontId="35" fillId="0" borderId="19" xfId="0" applyNumberFormat="1" applyFont="1" applyFill="1" applyBorder="1" applyAlignment="1">
      <alignment horizontal="center"/>
    </xf>
    <xf numFmtId="43" fontId="35" fillId="0" borderId="19" xfId="36" applyNumberFormat="1" applyFont="1" applyFill="1" applyBorder="1" applyAlignment="1">
      <alignment/>
    </xf>
    <xf numFmtId="43" fontId="28" fillId="0" borderId="24" xfId="0" applyNumberFormat="1" applyFont="1" applyFill="1" applyBorder="1" applyAlignment="1">
      <alignment/>
    </xf>
    <xf numFmtId="43" fontId="28" fillId="0" borderId="24" xfId="0" applyNumberFormat="1" applyFont="1" applyFill="1" applyBorder="1" applyAlignment="1">
      <alignment horizontal="center"/>
    </xf>
    <xf numFmtId="0" fontId="35" fillId="0" borderId="15" xfId="0" applyFont="1" applyFill="1" applyBorder="1" applyAlignment="1">
      <alignment horizontal="left"/>
    </xf>
    <xf numFmtId="4" fontId="35" fillId="0" borderId="14" xfId="0" applyNumberFormat="1" applyFont="1" applyFill="1" applyBorder="1" applyAlignment="1">
      <alignment/>
    </xf>
    <xf numFmtId="43" fontId="35" fillId="0" borderId="75" xfId="0" applyNumberFormat="1" applyFont="1" applyFill="1" applyBorder="1" applyAlignment="1">
      <alignment/>
    </xf>
    <xf numFmtId="0" fontId="28" fillId="0" borderId="32" xfId="0" applyFont="1" applyFill="1" applyBorder="1" applyAlignment="1">
      <alignment horizontal="center"/>
    </xf>
    <xf numFmtId="0" fontId="28" fillId="0" borderId="32" xfId="0" applyFont="1" applyFill="1" applyBorder="1" applyAlignment="1">
      <alignment/>
    </xf>
    <xf numFmtId="4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49" fontId="35" fillId="0" borderId="25" xfId="0" applyNumberFormat="1" applyFont="1" applyFill="1" applyBorder="1" applyAlignment="1">
      <alignment horizontal="center"/>
    </xf>
    <xf numFmtId="0" fontId="35" fillId="0" borderId="76" xfId="0" applyFont="1" applyFill="1" applyBorder="1" applyAlignment="1">
      <alignment/>
    </xf>
    <xf numFmtId="43" fontId="35" fillId="0" borderId="21" xfId="36" applyNumberFormat="1" applyFont="1" applyFill="1" applyBorder="1" applyAlignment="1">
      <alignment horizontal="center"/>
    </xf>
    <xf numFmtId="4" fontId="35" fillId="0" borderId="21" xfId="0" applyNumberFormat="1" applyFont="1" applyFill="1" applyBorder="1" applyAlignment="1">
      <alignment horizontal="right"/>
    </xf>
    <xf numFmtId="0" fontId="35" fillId="0" borderId="26" xfId="0" applyFont="1" applyFill="1" applyBorder="1" applyAlignment="1">
      <alignment/>
    </xf>
    <xf numFmtId="43" fontId="35" fillId="0" borderId="23" xfId="36" applyNumberFormat="1" applyFont="1" applyFill="1" applyBorder="1" applyAlignment="1">
      <alignment/>
    </xf>
    <xf numFmtId="4" fontId="35" fillId="0" borderId="23" xfId="36" applyNumberFormat="1" applyFont="1" applyFill="1" applyBorder="1" applyAlignment="1">
      <alignment horizontal="right"/>
    </xf>
    <xf numFmtId="4" fontId="35" fillId="0" borderId="23" xfId="0" applyNumberFormat="1" applyFont="1" applyFill="1" applyBorder="1" applyAlignment="1">
      <alignment horizontal="right"/>
    </xf>
    <xf numFmtId="43" fontId="35" fillId="0" borderId="77" xfId="36" applyNumberFormat="1" applyFont="1" applyFill="1" applyBorder="1" applyAlignment="1">
      <alignment/>
    </xf>
    <xf numFmtId="4" fontId="35" fillId="0" borderId="77" xfId="36" applyNumberFormat="1" applyFont="1" applyFill="1" applyBorder="1" applyAlignment="1">
      <alignment horizontal="right"/>
    </xf>
    <xf numFmtId="4" fontId="28" fillId="34" borderId="25" xfId="0" applyNumberFormat="1" applyFont="1" applyFill="1" applyBorder="1" applyAlignment="1">
      <alignment horizontal="right"/>
    </xf>
    <xf numFmtId="0" fontId="35" fillId="0" borderId="76" xfId="0" applyFont="1" applyFill="1" applyBorder="1" applyAlignment="1">
      <alignment horizontal="left"/>
    </xf>
    <xf numFmtId="43" fontId="35" fillId="0" borderId="21" xfId="36" applyNumberFormat="1" applyFont="1" applyFill="1" applyBorder="1" applyAlignment="1">
      <alignment horizontal="right"/>
    </xf>
    <xf numFmtId="4" fontId="35" fillId="0" borderId="21" xfId="36" applyNumberFormat="1" applyFont="1" applyFill="1" applyBorder="1" applyAlignment="1">
      <alignment horizontal="right"/>
    </xf>
    <xf numFmtId="0" fontId="35" fillId="0" borderId="26" xfId="0" applyFont="1" applyFill="1" applyBorder="1" applyAlignment="1">
      <alignment horizontal="left"/>
    </xf>
    <xf numFmtId="4" fontId="35" fillId="0" borderId="14" xfId="0" applyNumberFormat="1" applyFont="1" applyFill="1" applyBorder="1" applyAlignment="1">
      <alignment horizontal="right"/>
    </xf>
    <xf numFmtId="4" fontId="28" fillId="34" borderId="25" xfId="0" applyNumberFormat="1" applyFont="1" applyFill="1" applyBorder="1" applyAlignment="1">
      <alignment/>
    </xf>
    <xf numFmtId="43" fontId="35" fillId="0" borderId="21" xfId="0" applyNumberFormat="1" applyFont="1" applyFill="1" applyBorder="1" applyAlignment="1">
      <alignment/>
    </xf>
    <xf numFmtId="4" fontId="35" fillId="0" borderId="78" xfId="0" applyNumberFormat="1" applyFont="1" applyFill="1" applyBorder="1" applyAlignment="1">
      <alignment horizontal="right"/>
    </xf>
    <xf numFmtId="43" fontId="35" fillId="0" borderId="23" xfId="0" applyNumberFormat="1" applyFont="1" applyFill="1" applyBorder="1" applyAlignment="1">
      <alignment horizontal="right"/>
    </xf>
    <xf numFmtId="4" fontId="35" fillId="0" borderId="14" xfId="36" applyNumberFormat="1" applyFont="1" applyFill="1" applyBorder="1" applyAlignment="1">
      <alignment horizontal="right"/>
    </xf>
    <xf numFmtId="4" fontId="35" fillId="0" borderId="19" xfId="0" applyNumberFormat="1" applyFont="1" applyFill="1" applyBorder="1" applyAlignment="1">
      <alignment horizontal="right"/>
    </xf>
    <xf numFmtId="4" fontId="28" fillId="0" borderId="14" xfId="0" applyNumberFormat="1" applyFont="1" applyFill="1" applyBorder="1" applyAlignment="1">
      <alignment horizontal="right"/>
    </xf>
    <xf numFmtId="2" fontId="35" fillId="0" borderId="14" xfId="0" applyNumberFormat="1" applyFont="1" applyFill="1" applyBorder="1" applyAlignment="1">
      <alignment horizontal="right"/>
    </xf>
    <xf numFmtId="2" fontId="28" fillId="34" borderId="25" xfId="0" applyNumberFormat="1" applyFont="1" applyFill="1" applyBorder="1" applyAlignment="1">
      <alignment horizontal="right"/>
    </xf>
    <xf numFmtId="43" fontId="35" fillId="0" borderId="14" xfId="0" applyNumberFormat="1" applyFont="1" applyFill="1" applyBorder="1" applyAlignment="1">
      <alignment horizontal="right"/>
    </xf>
    <xf numFmtId="43" fontId="43" fillId="0" borderId="0" xfId="0" applyNumberFormat="1" applyFont="1" applyFill="1" applyAlignment="1">
      <alignment/>
    </xf>
    <xf numFmtId="13" fontId="28" fillId="0" borderId="0" xfId="0" applyNumberFormat="1" applyFont="1" applyFill="1" applyAlignment="1">
      <alignment horizontal="left"/>
    </xf>
    <xf numFmtId="2" fontId="35" fillId="0" borderId="21" xfId="36" applyNumberFormat="1" applyFont="1" applyFill="1" applyBorder="1" applyAlignment="1">
      <alignment horizontal="right"/>
    </xf>
    <xf numFmtId="43" fontId="35" fillId="33" borderId="26" xfId="36" applyNumberFormat="1" applyFont="1" applyFill="1" applyBorder="1" applyAlignment="1">
      <alignment horizontal="right"/>
    </xf>
    <xf numFmtId="39" fontId="47" fillId="33" borderId="0" xfId="0" applyNumberFormat="1" applyFont="1" applyFill="1" applyBorder="1" applyAlignment="1" applyProtection="1">
      <alignment horizontal="center"/>
      <protection locked="0"/>
    </xf>
    <xf numFmtId="39" fontId="47" fillId="33" borderId="79" xfId="0" applyNumberFormat="1" applyFont="1" applyFill="1" applyBorder="1" applyAlignment="1">
      <alignment horizontal="center" vertical="center"/>
    </xf>
    <xf numFmtId="39" fontId="47" fillId="33" borderId="80" xfId="0" applyNumberFormat="1" applyFont="1" applyFill="1" applyBorder="1" applyAlignment="1">
      <alignment horizontal="center"/>
    </xf>
    <xf numFmtId="39" fontId="47" fillId="33" borderId="81" xfId="0" applyNumberFormat="1" applyFont="1" applyFill="1" applyBorder="1" applyAlignment="1">
      <alignment horizontal="center"/>
    </xf>
    <xf numFmtId="39" fontId="48" fillId="33" borderId="82" xfId="0" applyNumberFormat="1" applyFont="1" applyFill="1" applyBorder="1" applyAlignment="1">
      <alignment horizontal="center"/>
    </xf>
    <xf numFmtId="43" fontId="48" fillId="33" borderId="83" xfId="36" applyFont="1" applyFill="1" applyBorder="1" applyAlignment="1">
      <alignment horizontal="center"/>
    </xf>
    <xf numFmtId="39" fontId="48" fillId="33" borderId="84" xfId="0" applyNumberFormat="1" applyFont="1" applyFill="1" applyBorder="1" applyAlignment="1">
      <alignment horizontal="center"/>
    </xf>
    <xf numFmtId="39" fontId="48" fillId="33" borderId="64" xfId="0" applyNumberFormat="1" applyFont="1" applyFill="1" applyBorder="1" applyAlignment="1">
      <alignment horizontal="center"/>
    </xf>
    <xf numFmtId="39" fontId="48" fillId="33" borderId="63" xfId="0" applyNumberFormat="1" applyFont="1" applyFill="1" applyBorder="1" applyAlignment="1">
      <alignment horizontal="center"/>
    </xf>
    <xf numFmtId="43" fontId="48" fillId="33" borderId="44" xfId="36" applyNumberFormat="1" applyFont="1" applyFill="1" applyBorder="1" applyAlignment="1">
      <alignment horizontal="right"/>
    </xf>
    <xf numFmtId="43" fontId="48" fillId="33" borderId="67" xfId="36" applyNumberFormat="1" applyFont="1" applyFill="1" applyBorder="1" applyAlignment="1">
      <alignment horizontal="right"/>
    </xf>
    <xf numFmtId="43" fontId="48" fillId="33" borderId="85" xfId="36" applyNumberFormat="1" applyFont="1" applyFill="1" applyBorder="1" applyAlignment="1">
      <alignment horizontal="right"/>
    </xf>
    <xf numFmtId="43" fontId="48" fillId="33" borderId="86" xfId="36" applyNumberFormat="1" applyFont="1" applyFill="1" applyBorder="1" applyAlignment="1">
      <alignment horizontal="right"/>
    </xf>
    <xf numFmtId="43" fontId="48" fillId="33" borderId="68" xfId="36" applyNumberFormat="1" applyFont="1" applyFill="1" applyBorder="1" applyAlignment="1">
      <alignment horizontal="right"/>
    </xf>
    <xf numFmtId="43" fontId="48" fillId="33" borderId="66" xfId="36" applyNumberFormat="1" applyFont="1" applyFill="1" applyBorder="1" applyAlignment="1">
      <alignment horizontal="right"/>
    </xf>
    <xf numFmtId="43" fontId="48" fillId="33" borderId="41" xfId="36" applyNumberFormat="1" applyFont="1" applyFill="1" applyBorder="1" applyAlignment="1">
      <alignment horizontal="right"/>
    </xf>
    <xf numFmtId="43" fontId="48" fillId="33" borderId="48" xfId="36" applyNumberFormat="1" applyFont="1" applyFill="1" applyBorder="1" applyAlignment="1">
      <alignment horizontal="right"/>
    </xf>
    <xf numFmtId="43" fontId="48" fillId="33" borderId="71" xfId="36" applyNumberFormat="1" applyFont="1" applyFill="1" applyBorder="1" applyAlignment="1">
      <alignment horizontal="right"/>
    </xf>
    <xf numFmtId="43" fontId="48" fillId="33" borderId="71" xfId="0" applyNumberFormat="1" applyFont="1" applyFill="1" applyBorder="1" applyAlignment="1">
      <alignment/>
    </xf>
    <xf numFmtId="43" fontId="48" fillId="33" borderId="66" xfId="0" applyNumberFormat="1" applyFont="1" applyFill="1" applyBorder="1" applyAlignment="1">
      <alignment/>
    </xf>
    <xf numFmtId="43" fontId="48" fillId="33" borderId="70" xfId="36" applyNumberFormat="1" applyFont="1" applyFill="1" applyBorder="1" applyAlignment="1">
      <alignment horizontal="right"/>
    </xf>
    <xf numFmtId="43" fontId="47" fillId="33" borderId="41" xfId="36" applyNumberFormat="1" applyFont="1" applyFill="1" applyBorder="1" applyAlignment="1">
      <alignment horizontal="right" vertical="center"/>
    </xf>
    <xf numFmtId="43" fontId="48" fillId="33" borderId="66" xfId="36" applyNumberFormat="1" applyFont="1" applyFill="1" applyBorder="1" applyAlignment="1">
      <alignment horizontal="right" vertical="center"/>
    </xf>
    <xf numFmtId="43" fontId="47" fillId="33" borderId="87" xfId="36" applyNumberFormat="1" applyFont="1" applyFill="1" applyBorder="1" applyAlignment="1">
      <alignment horizontal="right" vertical="center"/>
    </xf>
    <xf numFmtId="43" fontId="47" fillId="33" borderId="81" xfId="36" applyNumberFormat="1" applyFont="1" applyFill="1" applyBorder="1" applyAlignment="1">
      <alignment horizontal="right" vertical="center"/>
    </xf>
    <xf numFmtId="43" fontId="47" fillId="33" borderId="88" xfId="36" applyNumberFormat="1" applyFont="1" applyFill="1" applyBorder="1" applyAlignment="1">
      <alignment horizontal="right" vertical="center"/>
    </xf>
    <xf numFmtId="43" fontId="47" fillId="33" borderId="79" xfId="36" applyNumberFormat="1" applyFont="1" applyFill="1" applyBorder="1" applyAlignment="1">
      <alignment horizontal="right" vertical="center"/>
    </xf>
    <xf numFmtId="43" fontId="47" fillId="33" borderId="89" xfId="36" applyNumberFormat="1" applyFont="1" applyFill="1" applyBorder="1" applyAlignment="1">
      <alignment horizontal="right" vertical="center"/>
    </xf>
    <xf numFmtId="39" fontId="35" fillId="33" borderId="90" xfId="0" applyNumberFormat="1" applyFont="1" applyFill="1" applyBorder="1" applyAlignment="1">
      <alignment horizontal="left"/>
    </xf>
    <xf numFmtId="43" fontId="47" fillId="33" borderId="64" xfId="36" applyNumberFormat="1" applyFont="1" applyFill="1" applyBorder="1" applyAlignment="1">
      <alignment horizontal="right" vertical="center"/>
    </xf>
    <xf numFmtId="43" fontId="48" fillId="33" borderId="65" xfId="36" applyNumberFormat="1" applyFont="1" applyFill="1" applyBorder="1" applyAlignment="1">
      <alignment horizontal="right" vertical="center"/>
    </xf>
    <xf numFmtId="43" fontId="47" fillId="33" borderId="0" xfId="36" applyNumberFormat="1" applyFont="1" applyFill="1" applyBorder="1" applyAlignment="1">
      <alignment horizontal="right" vertical="center"/>
    </xf>
    <xf numFmtId="39" fontId="48" fillId="33" borderId="0" xfId="0" applyNumberFormat="1" applyFont="1" applyFill="1" applyAlignment="1">
      <alignment horizontal="left"/>
    </xf>
    <xf numFmtId="43" fontId="47" fillId="33" borderId="80" xfId="36" applyNumberFormat="1" applyFont="1" applyFill="1" applyBorder="1" applyAlignment="1">
      <alignment horizontal="right" vertical="center"/>
    </xf>
    <xf numFmtId="43" fontId="47" fillId="33" borderId="81" xfId="36" applyNumberFormat="1" applyFont="1" applyFill="1" applyBorder="1" applyAlignment="1">
      <alignment/>
    </xf>
    <xf numFmtId="43" fontId="48" fillId="33" borderId="0" xfId="36" applyNumberFormat="1" applyFont="1" applyFill="1" applyBorder="1" applyAlignment="1">
      <alignment/>
    </xf>
    <xf numFmtId="39" fontId="48" fillId="33" borderId="0" xfId="0" applyNumberFormat="1" applyFont="1" applyFill="1" applyBorder="1" applyAlignment="1">
      <alignment/>
    </xf>
    <xf numFmtId="39" fontId="48" fillId="33" borderId="0" xfId="0" applyNumberFormat="1" applyFont="1" applyFill="1" applyAlignment="1">
      <alignment/>
    </xf>
    <xf numFmtId="39" fontId="47" fillId="33" borderId="88" xfId="0" applyNumberFormat="1" applyFont="1" applyFill="1" applyBorder="1" applyAlignment="1">
      <alignment horizontal="center" vertical="center"/>
    </xf>
    <xf numFmtId="39" fontId="47" fillId="33" borderId="87" xfId="0" applyNumberFormat="1" applyFont="1" applyFill="1" applyBorder="1" applyAlignment="1">
      <alignment horizontal="center"/>
    </xf>
    <xf numFmtId="49" fontId="33" fillId="0" borderId="36" xfId="0" applyNumberFormat="1" applyFont="1" applyBorder="1" applyAlignment="1">
      <alignment horizontal="center"/>
    </xf>
    <xf numFmtId="43" fontId="33" fillId="0" borderId="91" xfId="0" applyNumberFormat="1" applyFont="1" applyBorder="1" applyAlignment="1">
      <alignment/>
    </xf>
    <xf numFmtId="43" fontId="33" fillId="0" borderId="86" xfId="0" applyNumberFormat="1" applyFont="1" applyBorder="1" applyAlignment="1">
      <alignment/>
    </xf>
    <xf numFmtId="49" fontId="33" fillId="0" borderId="37" xfId="0" applyNumberFormat="1" applyFont="1" applyBorder="1" applyAlignment="1">
      <alignment horizontal="center"/>
    </xf>
    <xf numFmtId="43" fontId="33" fillId="0" borderId="66" xfId="0" applyNumberFormat="1" applyFont="1" applyBorder="1" applyAlignment="1">
      <alignment/>
    </xf>
    <xf numFmtId="0" fontId="33" fillId="0" borderId="37" xfId="0" applyFont="1" applyBorder="1" applyAlignment="1">
      <alignment/>
    </xf>
    <xf numFmtId="39" fontId="48" fillId="33" borderId="37" xfId="0" applyNumberFormat="1" applyFont="1" applyFill="1" applyBorder="1" applyAlignment="1">
      <alignment horizontal="left"/>
    </xf>
    <xf numFmtId="49" fontId="48" fillId="33" borderId="48" xfId="0" applyNumberFormat="1" applyFont="1" applyFill="1" applyBorder="1" applyAlignment="1">
      <alignment horizontal="center"/>
    </xf>
    <xf numFmtId="39" fontId="48" fillId="33" borderId="48" xfId="0" applyNumberFormat="1" applyFont="1" applyFill="1" applyBorder="1" applyAlignment="1">
      <alignment horizontal="left"/>
    </xf>
    <xf numFmtId="39" fontId="48" fillId="33" borderId="68" xfId="0" applyNumberFormat="1" applyFont="1" applyFill="1" applyBorder="1" applyAlignment="1">
      <alignment horizontal="left"/>
    </xf>
    <xf numFmtId="187" fontId="48" fillId="0" borderId="61" xfId="36" applyNumberFormat="1" applyFont="1" applyBorder="1" applyAlignment="1">
      <alignment/>
    </xf>
    <xf numFmtId="39" fontId="48" fillId="33" borderId="62" xfId="0" applyNumberFormat="1" applyFont="1" applyFill="1" applyBorder="1" applyAlignment="1">
      <alignment horizontal="left"/>
    </xf>
    <xf numFmtId="43" fontId="48" fillId="33" borderId="92" xfId="36" applyNumberFormat="1" applyFont="1" applyFill="1" applyBorder="1" applyAlignment="1">
      <alignment horizontal="right"/>
    </xf>
    <xf numFmtId="39" fontId="48" fillId="33" borderId="0" xfId="0" applyNumberFormat="1" applyFont="1" applyFill="1" applyAlignment="1">
      <alignment vertical="center"/>
    </xf>
    <xf numFmtId="39" fontId="47" fillId="33" borderId="79" xfId="0" applyNumberFormat="1" applyFont="1" applyFill="1" applyBorder="1" applyAlignment="1">
      <alignment horizontal="left" vertical="center"/>
    </xf>
    <xf numFmtId="43" fontId="31" fillId="0" borderId="0" xfId="36" applyFont="1" applyBorder="1" applyAlignment="1">
      <alignment/>
    </xf>
    <xf numFmtId="43" fontId="31" fillId="0" borderId="0" xfId="36" applyFont="1" applyAlignment="1">
      <alignment horizontal="center"/>
    </xf>
    <xf numFmtId="187" fontId="48" fillId="0" borderId="0" xfId="36" applyNumberFormat="1" applyFont="1" applyAlignment="1">
      <alignment/>
    </xf>
    <xf numFmtId="43" fontId="31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43" fontId="30" fillId="0" borderId="10" xfId="36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43" fontId="31" fillId="0" borderId="22" xfId="36" applyFont="1" applyBorder="1" applyAlignment="1">
      <alignment horizontal="left"/>
    </xf>
    <xf numFmtId="0" fontId="31" fillId="0" borderId="22" xfId="0" applyFont="1" applyBorder="1" applyAlignment="1">
      <alignment/>
    </xf>
    <xf numFmtId="0" fontId="31" fillId="0" borderId="23" xfId="0" applyFont="1" applyBorder="1" applyAlignment="1">
      <alignment horizontal="center"/>
    </xf>
    <xf numFmtId="43" fontId="31" fillId="0" borderId="23" xfId="36" applyFont="1" applyBorder="1" applyAlignment="1">
      <alignment horizontal="left"/>
    </xf>
    <xf numFmtId="43" fontId="31" fillId="0" borderId="23" xfId="0" applyNumberFormat="1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10" xfId="0" applyFont="1" applyBorder="1" applyAlignment="1">
      <alignment horizontal="center"/>
    </xf>
    <xf numFmtId="43" fontId="30" fillId="0" borderId="10" xfId="36" applyFont="1" applyBorder="1" applyAlignment="1">
      <alignment horizontal="right"/>
    </xf>
    <xf numFmtId="43" fontId="30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4" fontId="49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 horizontal="left" vertical="center"/>
    </xf>
    <xf numFmtId="49" fontId="50" fillId="0" borderId="32" xfId="0" applyNumberFormat="1" applyFont="1" applyBorder="1" applyAlignment="1">
      <alignment horizontal="left" vertical="center"/>
    </xf>
    <xf numFmtId="0" fontId="34" fillId="0" borderId="13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49" fontId="34" fillId="0" borderId="19" xfId="0" applyNumberFormat="1" applyFont="1" applyBorder="1" applyAlignment="1">
      <alignment horizontal="center"/>
    </xf>
    <xf numFmtId="0" fontId="34" fillId="0" borderId="14" xfId="0" applyFont="1" applyBorder="1" applyAlignment="1">
      <alignment horizontal="left"/>
    </xf>
    <xf numFmtId="0" fontId="34" fillId="0" borderId="14" xfId="0" applyFont="1" applyBorder="1" applyAlignment="1">
      <alignment horizontal="center"/>
    </xf>
    <xf numFmtId="49" fontId="34" fillId="0" borderId="14" xfId="0" applyNumberFormat="1" applyFont="1" applyBorder="1" applyAlignment="1">
      <alignment horizontal="center"/>
    </xf>
    <xf numFmtId="0" fontId="35" fillId="0" borderId="14" xfId="0" applyFont="1" applyBorder="1" applyAlignment="1">
      <alignment/>
    </xf>
    <xf numFmtId="4" fontId="33" fillId="0" borderId="14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28" fillId="0" borderId="14" xfId="0" applyFont="1" applyBorder="1" applyAlignment="1">
      <alignment/>
    </xf>
    <xf numFmtId="4" fontId="33" fillId="0" borderId="14" xfId="0" applyNumberFormat="1" applyFont="1" applyBorder="1" applyAlignment="1">
      <alignment horizontal="right"/>
    </xf>
    <xf numFmtId="43" fontId="33" fillId="0" borderId="14" xfId="0" applyNumberFormat="1" applyFont="1" applyBorder="1" applyAlignment="1">
      <alignment/>
    </xf>
    <xf numFmtId="4" fontId="34" fillId="34" borderId="25" xfId="0" applyNumberFormat="1" applyFont="1" applyFill="1" applyBorder="1" applyAlignment="1">
      <alignment/>
    </xf>
    <xf numFmtId="49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3" fontId="30" fillId="0" borderId="0" xfId="36" applyFont="1" applyAlignment="1">
      <alignment horizontal="right"/>
    </xf>
    <xf numFmtId="0" fontId="51" fillId="0" borderId="0" xfId="0" applyFont="1" applyAlignment="1">
      <alignment/>
    </xf>
    <xf numFmtId="0" fontId="32" fillId="0" borderId="0" xfId="0" applyFont="1" applyAlignment="1">
      <alignment/>
    </xf>
    <xf numFmtId="43" fontId="48" fillId="0" borderId="0" xfId="0" applyNumberFormat="1" applyFont="1" applyAlignment="1">
      <alignment/>
    </xf>
    <xf numFmtId="187" fontId="31" fillId="0" borderId="0" xfId="36" applyNumberFormat="1" applyFont="1" applyAlignment="1">
      <alignment/>
    </xf>
    <xf numFmtId="187" fontId="47" fillId="0" borderId="33" xfId="36" applyNumberFormat="1" applyFont="1" applyBorder="1" applyAlignment="1">
      <alignment/>
    </xf>
    <xf numFmtId="187" fontId="47" fillId="0" borderId="0" xfId="36" applyNumberFormat="1" applyFont="1" applyAlignment="1">
      <alignment/>
    </xf>
    <xf numFmtId="43" fontId="31" fillId="0" borderId="0" xfId="36" applyFont="1" applyAlignment="1">
      <alignment horizontal="left"/>
    </xf>
    <xf numFmtId="4" fontId="31" fillId="0" borderId="0" xfId="0" applyNumberFormat="1" applyFont="1" applyAlignment="1">
      <alignment/>
    </xf>
    <xf numFmtId="4" fontId="32" fillId="0" borderId="0" xfId="0" applyNumberFormat="1" applyFont="1" applyAlignment="1">
      <alignment horizontal="center"/>
    </xf>
    <xf numFmtId="4" fontId="34" fillId="0" borderId="93" xfId="0" applyNumberFormat="1" applyFont="1" applyBorder="1" applyAlignment="1">
      <alignment/>
    </xf>
    <xf numFmtId="0" fontId="45" fillId="0" borderId="0" xfId="0" applyFont="1" applyAlignment="1">
      <alignment/>
    </xf>
    <xf numFmtId="0" fontId="52" fillId="0" borderId="0" xfId="0" applyFont="1" applyAlignment="1">
      <alignment/>
    </xf>
    <xf numFmtId="49" fontId="34" fillId="0" borderId="0" xfId="0" applyNumberFormat="1" applyFont="1" applyAlignment="1">
      <alignment/>
    </xf>
    <xf numFmtId="0" fontId="34" fillId="0" borderId="0" xfId="0" applyFont="1" applyAlignment="1">
      <alignment/>
    </xf>
    <xf numFmtId="4" fontId="44" fillId="0" borderId="0" xfId="0" applyNumberFormat="1" applyFont="1" applyAlignment="1">
      <alignment/>
    </xf>
    <xf numFmtId="0" fontId="38" fillId="0" borderId="0" xfId="0" applyFont="1" applyAlignment="1">
      <alignment/>
    </xf>
    <xf numFmtId="0" fontId="54" fillId="0" borderId="13" xfId="0" applyFont="1" applyBorder="1" applyAlignment="1">
      <alignment horizontal="center"/>
    </xf>
    <xf numFmtId="43" fontId="54" fillId="0" borderId="13" xfId="0" applyNumberFormat="1" applyFont="1" applyBorder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/>
    </xf>
    <xf numFmtId="43" fontId="54" fillId="0" borderId="14" xfId="0" applyNumberFormat="1" applyFont="1" applyBorder="1" applyAlignment="1">
      <alignment horizontal="center"/>
    </xf>
    <xf numFmtId="0" fontId="57" fillId="0" borderId="14" xfId="0" applyFont="1" applyBorder="1" applyAlignment="1">
      <alignment horizontal="center" vertical="center"/>
    </xf>
    <xf numFmtId="0" fontId="53" fillId="0" borderId="94" xfId="0" applyFont="1" applyBorder="1" applyAlignment="1">
      <alignment/>
    </xf>
    <xf numFmtId="0" fontId="36" fillId="0" borderId="95" xfId="0" applyFont="1" applyBorder="1" applyAlignment="1">
      <alignment/>
    </xf>
    <xf numFmtId="43" fontId="36" fillId="0" borderId="95" xfId="0" applyNumberFormat="1" applyFont="1" applyBorder="1" applyAlignment="1">
      <alignment/>
    </xf>
    <xf numFmtId="0" fontId="55" fillId="0" borderId="95" xfId="0" applyFont="1" applyBorder="1" applyAlignment="1">
      <alignment/>
    </xf>
    <xf numFmtId="0" fontId="36" fillId="0" borderId="96" xfId="0" applyFont="1" applyBorder="1" applyAlignment="1">
      <alignment/>
    </xf>
    <xf numFmtId="43" fontId="36" fillId="0" borderId="97" xfId="0" applyNumberFormat="1" applyFont="1" applyBorder="1" applyAlignment="1">
      <alignment/>
    </xf>
    <xf numFmtId="43" fontId="55" fillId="0" borderId="97" xfId="0" applyNumberFormat="1" applyFont="1" applyBorder="1" applyAlignment="1">
      <alignment/>
    </xf>
    <xf numFmtId="0" fontId="59" fillId="0" borderId="96" xfId="0" applyFont="1" applyBorder="1" applyAlignment="1">
      <alignment/>
    </xf>
    <xf numFmtId="41" fontId="36" fillId="0" borderId="97" xfId="0" applyNumberFormat="1" applyFont="1" applyBorder="1" applyAlignment="1">
      <alignment/>
    </xf>
    <xf numFmtId="43" fontId="55" fillId="0" borderId="98" xfId="0" applyNumberFormat="1" applyFont="1" applyBorder="1" applyAlignment="1">
      <alignment/>
    </xf>
    <xf numFmtId="0" fontId="53" fillId="34" borderId="99" xfId="0" applyFont="1" applyFill="1" applyBorder="1" applyAlignment="1">
      <alignment horizontal="center"/>
    </xf>
    <xf numFmtId="43" fontId="53" fillId="34" borderId="25" xfId="0" applyNumberFormat="1" applyFont="1" applyFill="1" applyBorder="1" applyAlignment="1">
      <alignment/>
    </xf>
    <xf numFmtId="43" fontId="60" fillId="0" borderId="25" xfId="0" applyNumberFormat="1" applyFont="1" applyBorder="1" applyAlignment="1">
      <alignment/>
    </xf>
    <xf numFmtId="0" fontId="53" fillId="0" borderId="100" xfId="0" applyFont="1" applyBorder="1" applyAlignment="1">
      <alignment/>
    </xf>
    <xf numFmtId="0" fontId="36" fillId="0" borderId="101" xfId="0" applyFont="1" applyBorder="1" applyAlignment="1">
      <alignment/>
    </xf>
    <xf numFmtId="43" fontId="36" fillId="0" borderId="101" xfId="0" applyNumberFormat="1" applyFont="1" applyBorder="1" applyAlignment="1">
      <alignment/>
    </xf>
    <xf numFmtId="0" fontId="36" fillId="0" borderId="14" xfId="0" applyFont="1" applyBorder="1" applyAlignment="1">
      <alignment/>
    </xf>
    <xf numFmtId="0" fontId="55" fillId="0" borderId="102" xfId="0" applyFont="1" applyBorder="1" applyAlignment="1">
      <alignment/>
    </xf>
    <xf numFmtId="188" fontId="36" fillId="0" borderId="97" xfId="0" applyNumberFormat="1" applyFont="1" applyBorder="1" applyAlignment="1">
      <alignment/>
    </xf>
    <xf numFmtId="0" fontId="36" fillId="0" borderId="16" xfId="0" applyFont="1" applyBorder="1" applyAlignment="1">
      <alignment/>
    </xf>
    <xf numFmtId="188" fontId="36" fillId="0" borderId="14" xfId="0" applyNumberFormat="1" applyFont="1" applyBorder="1" applyAlignment="1">
      <alignment/>
    </xf>
    <xf numFmtId="43" fontId="36" fillId="0" borderId="14" xfId="0" applyNumberFormat="1" applyFont="1" applyBorder="1" applyAlignment="1">
      <alignment/>
    </xf>
    <xf numFmtId="43" fontId="55" fillId="0" borderId="14" xfId="0" applyNumberFormat="1" applyFont="1" applyBorder="1" applyAlignment="1">
      <alignment/>
    </xf>
    <xf numFmtId="43" fontId="53" fillId="0" borderId="25" xfId="0" applyNumberFormat="1" applyFont="1" applyBorder="1" applyAlignment="1">
      <alignment/>
    </xf>
    <xf numFmtId="0" fontId="39" fillId="0" borderId="0" xfId="0" applyFont="1" applyAlignment="1">
      <alignment/>
    </xf>
    <xf numFmtId="43" fontId="28" fillId="34" borderId="74" xfId="0" applyNumberFormat="1" applyFont="1" applyFill="1" applyBorder="1" applyAlignment="1">
      <alignment/>
    </xf>
    <xf numFmtId="43" fontId="46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31" fillId="0" borderId="12" xfId="0" applyFont="1" applyBorder="1" applyAlignment="1">
      <alignment/>
    </xf>
    <xf numFmtId="0" fontId="35" fillId="0" borderId="0" xfId="0" applyFont="1" applyFill="1" applyBorder="1" applyAlignment="1">
      <alignment horizontal="left"/>
    </xf>
    <xf numFmtId="43" fontId="28" fillId="0" borderId="0" xfId="0" applyNumberFormat="1" applyFont="1" applyFill="1" applyBorder="1" applyAlignment="1">
      <alignment horizontal="right"/>
    </xf>
    <xf numFmtId="0" fontId="35" fillId="0" borderId="32" xfId="0" applyFont="1" applyFill="1" applyBorder="1" applyAlignment="1">
      <alignment/>
    </xf>
    <xf numFmtId="0" fontId="35" fillId="0" borderId="103" xfId="0" applyFont="1" applyFill="1" applyBorder="1" applyAlignment="1">
      <alignment/>
    </xf>
    <xf numFmtId="0" fontId="35" fillId="0" borderId="16" xfId="0" applyFont="1" applyFill="1" applyBorder="1" applyAlignment="1">
      <alignment horizontal="left"/>
    </xf>
    <xf numFmtId="0" fontId="35" fillId="0" borderId="16" xfId="0" applyFont="1" applyFill="1" applyBorder="1" applyAlignment="1">
      <alignment/>
    </xf>
    <xf numFmtId="0" fontId="31" fillId="0" borderId="14" xfId="0" applyFont="1" applyBorder="1" applyAlignment="1">
      <alignment/>
    </xf>
    <xf numFmtId="43" fontId="9" fillId="0" borderId="0" xfId="0" applyNumberFormat="1" applyFont="1" applyAlignment="1">
      <alignment/>
    </xf>
    <xf numFmtId="0" fontId="18" fillId="0" borderId="0" xfId="0" applyFont="1" applyFill="1" applyAlignment="1">
      <alignment horizontal="center"/>
    </xf>
    <xf numFmtId="43" fontId="35" fillId="33" borderId="39" xfId="36" applyNumberFormat="1" applyFont="1" applyFill="1" applyBorder="1" applyAlignment="1">
      <alignment horizontal="right"/>
    </xf>
    <xf numFmtId="188" fontId="46" fillId="36" borderId="25" xfId="0" applyNumberFormat="1" applyFont="1" applyFill="1" applyBorder="1" applyAlignment="1">
      <alignment/>
    </xf>
    <xf numFmtId="188" fontId="46" fillId="36" borderId="25" xfId="0" applyNumberFormat="1" applyFont="1" applyFill="1" applyBorder="1" applyAlignment="1">
      <alignment horizontal="right"/>
    </xf>
    <xf numFmtId="43" fontId="48" fillId="33" borderId="0" xfId="36" applyNumberFormat="1" applyFont="1" applyFill="1" applyBorder="1" applyAlignment="1">
      <alignment horizontal="right"/>
    </xf>
    <xf numFmtId="43" fontId="48" fillId="33" borderId="72" xfId="0" applyNumberFormat="1" applyFont="1" applyFill="1" applyBorder="1" applyAlignment="1">
      <alignment/>
    </xf>
    <xf numFmtId="43" fontId="48" fillId="33" borderId="62" xfId="36" applyNumberFormat="1" applyFont="1" applyFill="1" applyBorder="1" applyAlignment="1">
      <alignment horizontal="right"/>
    </xf>
    <xf numFmtId="43" fontId="48" fillId="33" borderId="15" xfId="36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43" fontId="36" fillId="33" borderId="66" xfId="36" applyNumberFormat="1" applyFont="1" applyFill="1" applyBorder="1" applyAlignment="1">
      <alignment horizontal="right"/>
    </xf>
    <xf numFmtId="0" fontId="18" fillId="0" borderId="104" xfId="0" applyFont="1" applyFill="1" applyBorder="1" applyAlignment="1">
      <alignment horizontal="left"/>
    </xf>
    <xf numFmtId="0" fontId="18" fillId="0" borderId="105" xfId="0" applyFont="1" applyFill="1" applyBorder="1" applyAlignment="1">
      <alignment horizontal="center"/>
    </xf>
    <xf numFmtId="188" fontId="18" fillId="0" borderId="104" xfId="36" applyNumberFormat="1" applyFont="1" applyFill="1" applyBorder="1" applyAlignment="1">
      <alignment horizontal="right"/>
    </xf>
    <xf numFmtId="188" fontId="18" fillId="0" borderId="104" xfId="0" applyNumberFormat="1" applyFont="1" applyFill="1" applyBorder="1" applyAlignment="1">
      <alignment horizontal="right"/>
    </xf>
    <xf numFmtId="4" fontId="18" fillId="0" borderId="104" xfId="0" applyNumberFormat="1" applyFont="1" applyFill="1" applyBorder="1" applyAlignment="1">
      <alignment horizontal="right"/>
    </xf>
    <xf numFmtId="43" fontId="18" fillId="0" borderId="24" xfId="0" applyNumberFormat="1" applyFont="1" applyFill="1" applyBorder="1" applyAlignment="1">
      <alignment horizontal="centerContinuous"/>
    </xf>
    <xf numFmtId="0" fontId="27" fillId="0" borderId="104" xfId="0" applyFont="1" applyFill="1" applyBorder="1" applyAlignment="1">
      <alignment/>
    </xf>
    <xf numFmtId="0" fontId="18" fillId="0" borderId="104" xfId="0" applyFont="1" applyFill="1" applyBorder="1" applyAlignment="1">
      <alignment horizontal="center"/>
    </xf>
    <xf numFmtId="0" fontId="18" fillId="0" borderId="106" xfId="0" applyFont="1" applyFill="1" applyBorder="1" applyAlignment="1">
      <alignment horizontal="left"/>
    </xf>
    <xf numFmtId="0" fontId="18" fillId="0" borderId="100" xfId="0" applyFont="1" applyFill="1" applyBorder="1" applyAlignment="1">
      <alignment horizontal="center"/>
    </xf>
    <xf numFmtId="0" fontId="61" fillId="0" borderId="104" xfId="0" applyFont="1" applyFill="1" applyBorder="1" applyAlignment="1">
      <alignment horizontal="left"/>
    </xf>
    <xf numFmtId="2" fontId="18" fillId="0" borderId="22" xfId="36" applyNumberFormat="1" applyFont="1" applyFill="1" applyBorder="1" applyAlignment="1">
      <alignment horizontal="center"/>
    </xf>
    <xf numFmtId="2" fontId="18" fillId="0" borderId="23" xfId="36" applyNumberFormat="1" applyFont="1" applyFill="1" applyBorder="1" applyAlignment="1">
      <alignment horizontal="center"/>
    </xf>
    <xf numFmtId="2" fontId="18" fillId="0" borderId="104" xfId="36" applyNumberFormat="1" applyFont="1" applyFill="1" applyBorder="1" applyAlignment="1">
      <alignment horizontal="right"/>
    </xf>
    <xf numFmtId="2" fontId="18" fillId="0" borderId="24" xfId="36" applyNumberFormat="1" applyFont="1" applyFill="1" applyBorder="1" applyAlignment="1">
      <alignment horizontal="centerContinuous"/>
    </xf>
    <xf numFmtId="188" fontId="18" fillId="0" borderId="22" xfId="0" applyNumberFormat="1" applyFont="1" applyFill="1" applyBorder="1" applyAlignment="1">
      <alignment/>
    </xf>
    <xf numFmtId="188" fontId="18" fillId="0" borderId="23" xfId="0" applyNumberFormat="1" applyFont="1" applyFill="1" applyBorder="1" applyAlignment="1">
      <alignment/>
    </xf>
    <xf numFmtId="188" fontId="17" fillId="0" borderId="24" xfId="0" applyNumberFormat="1" applyFont="1" applyFill="1" applyBorder="1" applyAlignment="1">
      <alignment/>
    </xf>
    <xf numFmtId="188" fontId="17" fillId="34" borderId="24" xfId="0" applyNumberFormat="1" applyFont="1" applyFill="1" applyBorder="1" applyAlignment="1">
      <alignment/>
    </xf>
    <xf numFmtId="39" fontId="28" fillId="33" borderId="107" xfId="0" applyNumberFormat="1" applyFont="1" applyFill="1" applyBorder="1" applyAlignment="1">
      <alignment horizontal="center"/>
    </xf>
    <xf numFmtId="39" fontId="28" fillId="33" borderId="0" xfId="0" applyNumberFormat="1" applyFont="1" applyFill="1" applyBorder="1" applyAlignment="1">
      <alignment horizontal="center"/>
    </xf>
    <xf numFmtId="43" fontId="35" fillId="33" borderId="108" xfId="36" applyFont="1" applyFill="1" applyBorder="1" applyAlignment="1">
      <alignment horizontal="center"/>
    </xf>
    <xf numFmtId="43" fontId="35" fillId="33" borderId="15" xfId="36" applyNumberFormat="1" applyFont="1" applyFill="1" applyBorder="1" applyAlignment="1">
      <alignment horizontal="right"/>
    </xf>
    <xf numFmtId="43" fontId="35" fillId="33" borderId="109" xfId="36" applyFont="1" applyFill="1" applyBorder="1" applyAlignment="1">
      <alignment horizontal="center"/>
    </xf>
    <xf numFmtId="43" fontId="35" fillId="33" borderId="78" xfId="36" applyNumberFormat="1" applyFont="1" applyFill="1" applyBorder="1" applyAlignment="1">
      <alignment horizontal="right"/>
    </xf>
    <xf numFmtId="49" fontId="28" fillId="33" borderId="110" xfId="0" applyNumberFormat="1" applyFont="1" applyFill="1" applyBorder="1" applyAlignment="1">
      <alignment horizontal="center"/>
    </xf>
    <xf numFmtId="49" fontId="28" fillId="33" borderId="111" xfId="0" applyNumberFormat="1" applyFont="1" applyFill="1" applyBorder="1" applyAlignment="1">
      <alignment horizontal="center"/>
    </xf>
    <xf numFmtId="49" fontId="35" fillId="33" borderId="112" xfId="36" applyNumberFormat="1" applyFont="1" applyFill="1" applyBorder="1" applyAlignment="1">
      <alignment horizontal="center"/>
    </xf>
    <xf numFmtId="49" fontId="35" fillId="33" borderId="113" xfId="36" applyNumberFormat="1" applyFont="1" applyFill="1" applyBorder="1" applyAlignment="1">
      <alignment horizontal="center"/>
    </xf>
    <xf numFmtId="49" fontId="35" fillId="33" borderId="114" xfId="36" applyNumberFormat="1" applyFont="1" applyFill="1" applyBorder="1" applyAlignment="1">
      <alignment horizontal="center"/>
    </xf>
    <xf numFmtId="49" fontId="35" fillId="33" borderId="115" xfId="36" applyNumberFormat="1" applyFont="1" applyFill="1" applyBorder="1" applyAlignment="1">
      <alignment horizontal="center"/>
    </xf>
    <xf numFmtId="43" fontId="35" fillId="33" borderId="61" xfId="36" applyNumberFormat="1" applyFont="1" applyFill="1" applyBorder="1" applyAlignment="1">
      <alignment horizontal="right"/>
    </xf>
    <xf numFmtId="39" fontId="35" fillId="33" borderId="116" xfId="0" applyNumberFormat="1" applyFont="1" applyFill="1" applyBorder="1" applyAlignment="1">
      <alignment horizontal="left"/>
    </xf>
    <xf numFmtId="0" fontId="35" fillId="0" borderId="117" xfId="0" applyFont="1" applyBorder="1" applyAlignment="1">
      <alignment/>
    </xf>
    <xf numFmtId="43" fontId="35" fillId="0" borderId="92" xfId="36" applyFont="1" applyBorder="1" applyAlignment="1">
      <alignment/>
    </xf>
    <xf numFmtId="43" fontId="35" fillId="0" borderId="66" xfId="36" applyFont="1" applyBorder="1" applyAlignment="1">
      <alignment/>
    </xf>
    <xf numFmtId="43" fontId="35" fillId="0" borderId="71" xfId="36" applyFont="1" applyBorder="1" applyAlignment="1">
      <alignment/>
    </xf>
    <xf numFmtId="43" fontId="35" fillId="0" borderId="118" xfId="36" applyFont="1" applyBorder="1" applyAlignment="1">
      <alignment/>
    </xf>
    <xf numFmtId="49" fontId="31" fillId="0" borderId="0" xfId="0" applyNumberFormat="1" applyFont="1" applyAlignment="1">
      <alignment horizontal="center"/>
    </xf>
    <xf numFmtId="43" fontId="31" fillId="0" borderId="0" xfId="36" applyFont="1" applyAlignment="1">
      <alignment horizontal="right"/>
    </xf>
    <xf numFmtId="49" fontId="31" fillId="0" borderId="11" xfId="0" applyNumberFormat="1" applyFont="1" applyBorder="1" applyAlignment="1">
      <alignment horizontal="center"/>
    </xf>
    <xf numFmtId="49" fontId="31" fillId="0" borderId="32" xfId="0" applyNumberFormat="1" applyFont="1" applyBorder="1" applyAlignment="1">
      <alignment horizontal="center"/>
    </xf>
    <xf numFmtId="49" fontId="31" fillId="0" borderId="17" xfId="0" applyNumberFormat="1" applyFont="1" applyBorder="1" applyAlignment="1">
      <alignment horizontal="center"/>
    </xf>
    <xf numFmtId="49" fontId="31" fillId="0" borderId="20" xfId="0" applyNumberFormat="1" applyFont="1" applyBorder="1" applyAlignment="1">
      <alignment horizontal="center"/>
    </xf>
    <xf numFmtId="49" fontId="30" fillId="0" borderId="11" xfId="0" applyNumberFormat="1" applyFont="1" applyBorder="1" applyAlignment="1">
      <alignment horizontal="center"/>
    </xf>
    <xf numFmtId="43" fontId="30" fillId="0" borderId="32" xfId="36" applyFont="1" applyBorder="1" applyAlignment="1">
      <alignment horizontal="left"/>
    </xf>
    <xf numFmtId="0" fontId="31" fillId="0" borderId="32" xfId="0" applyFont="1" applyBorder="1" applyAlignment="1">
      <alignment/>
    </xf>
    <xf numFmtId="43" fontId="31" fillId="0" borderId="13" xfId="36" applyFont="1" applyBorder="1" applyAlignment="1">
      <alignment/>
    </xf>
    <xf numFmtId="49" fontId="31" fillId="0" borderId="15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left"/>
    </xf>
    <xf numFmtId="43" fontId="30" fillId="0" borderId="0" xfId="36" applyFont="1" applyBorder="1" applyAlignment="1">
      <alignment/>
    </xf>
    <xf numFmtId="43" fontId="31" fillId="0" borderId="20" xfId="36" applyFont="1" applyBorder="1" applyAlignment="1">
      <alignment/>
    </xf>
    <xf numFmtId="0" fontId="31" fillId="0" borderId="18" xfId="0" applyFont="1" applyBorder="1" applyAlignment="1">
      <alignment/>
    </xf>
    <xf numFmtId="43" fontId="31" fillId="0" borderId="19" xfId="36" applyFont="1" applyBorder="1" applyAlignment="1">
      <alignment/>
    </xf>
    <xf numFmtId="49" fontId="31" fillId="0" borderId="3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43" fontId="31" fillId="0" borderId="25" xfId="36" applyFont="1" applyBorder="1" applyAlignment="1">
      <alignment vertical="center"/>
    </xf>
    <xf numFmtId="49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3" fontId="31" fillId="0" borderId="0" xfId="36" applyFont="1" applyBorder="1" applyAlignment="1">
      <alignment vertical="center"/>
    </xf>
    <xf numFmtId="0" fontId="31" fillId="0" borderId="0" xfId="0" applyFont="1" applyBorder="1" applyAlignment="1">
      <alignment horizontal="right"/>
    </xf>
    <xf numFmtId="0" fontId="3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88" fontId="31" fillId="0" borderId="0" xfId="36" applyNumberFormat="1" applyFont="1" applyAlignment="1">
      <alignment/>
    </xf>
    <xf numFmtId="188" fontId="30" fillId="0" borderId="33" xfId="0" applyNumberFormat="1" applyFont="1" applyBorder="1" applyAlignment="1">
      <alignment/>
    </xf>
    <xf numFmtId="188" fontId="30" fillId="0" borderId="0" xfId="0" applyNumberFormat="1" applyFont="1" applyBorder="1" applyAlignment="1">
      <alignment/>
    </xf>
    <xf numFmtId="43" fontId="31" fillId="0" borderId="119" xfId="36" applyFont="1" applyBorder="1" applyAlignment="1">
      <alignment/>
    </xf>
    <xf numFmtId="43" fontId="31" fillId="0" borderId="91" xfId="36" applyFont="1" applyBorder="1" applyAlignment="1">
      <alignment/>
    </xf>
    <xf numFmtId="43" fontId="30" fillId="0" borderId="93" xfId="36" applyFont="1" applyBorder="1" applyAlignment="1">
      <alignment/>
    </xf>
    <xf numFmtId="43" fontId="31" fillId="0" borderId="31" xfId="36" applyFont="1" applyBorder="1" applyAlignment="1">
      <alignment/>
    </xf>
    <xf numFmtId="43" fontId="30" fillId="0" borderId="31" xfId="36" applyFont="1" applyBorder="1" applyAlignment="1">
      <alignment/>
    </xf>
    <xf numFmtId="187" fontId="62" fillId="0" borderId="0" xfId="36" applyNumberFormat="1" applyFont="1" applyAlignment="1">
      <alignment/>
    </xf>
    <xf numFmtId="0" fontId="30" fillId="0" borderId="14" xfId="0" applyFont="1" applyBorder="1" applyAlignment="1">
      <alignment/>
    </xf>
    <xf numFmtId="187" fontId="31" fillId="0" borderId="0" xfId="36" applyNumberFormat="1" applyFont="1" applyBorder="1" applyAlignment="1">
      <alignment/>
    </xf>
    <xf numFmtId="187" fontId="48" fillId="0" borderId="20" xfId="36" applyNumberFormat="1" applyFont="1" applyBorder="1" applyAlignment="1">
      <alignment/>
    </xf>
    <xf numFmtId="43" fontId="31" fillId="0" borderId="21" xfId="36" applyFont="1" applyBorder="1" applyAlignment="1">
      <alignment horizontal="left"/>
    </xf>
    <xf numFmtId="0" fontId="62" fillId="0" borderId="22" xfId="0" applyFont="1" applyBorder="1" applyAlignment="1">
      <alignment horizontal="center" vertical="center"/>
    </xf>
    <xf numFmtId="49" fontId="62" fillId="0" borderId="22" xfId="0" applyNumberFormat="1" applyFont="1" applyBorder="1" applyAlignment="1">
      <alignment horizontal="center"/>
    </xf>
    <xf numFmtId="0" fontId="62" fillId="0" borderId="22" xfId="0" applyFont="1" applyBorder="1" applyAlignment="1">
      <alignment horizontal="left"/>
    </xf>
    <xf numFmtId="4" fontId="62" fillId="0" borderId="22" xfId="0" applyNumberFormat="1" applyFont="1" applyBorder="1" applyAlignment="1">
      <alignment horizontal="right"/>
    </xf>
    <xf numFmtId="49" fontId="62" fillId="0" borderId="22" xfId="0" applyNumberFormat="1" applyFont="1" applyBorder="1" applyAlignment="1">
      <alignment horizontal="center" vertical="center"/>
    </xf>
    <xf numFmtId="2" fontId="62" fillId="0" borderId="22" xfId="0" applyNumberFormat="1" applyFont="1" applyBorder="1" applyAlignment="1">
      <alignment horizontal="center"/>
    </xf>
    <xf numFmtId="0" fontId="62" fillId="0" borderId="23" xfId="0" applyFont="1" applyBorder="1" applyAlignment="1">
      <alignment horizontal="center" vertical="center"/>
    </xf>
    <xf numFmtId="49" fontId="62" fillId="0" borderId="23" xfId="0" applyNumberFormat="1" applyFont="1" applyBorder="1" applyAlignment="1">
      <alignment horizontal="center"/>
    </xf>
    <xf numFmtId="0" fontId="62" fillId="0" borderId="23" xfId="0" applyFont="1" applyBorder="1" applyAlignment="1">
      <alignment horizontal="left"/>
    </xf>
    <xf numFmtId="4" fontId="62" fillId="0" borderId="23" xfId="0" applyNumberFormat="1" applyFont="1" applyBorder="1" applyAlignment="1">
      <alignment horizontal="right"/>
    </xf>
    <xf numFmtId="49" fontId="62" fillId="0" borderId="23" xfId="0" applyNumberFormat="1" applyFont="1" applyBorder="1" applyAlignment="1">
      <alignment horizontal="center" vertical="center"/>
    </xf>
    <xf numFmtId="2" fontId="62" fillId="0" borderId="23" xfId="0" applyNumberFormat="1" applyFont="1" applyBorder="1" applyAlignment="1">
      <alignment horizontal="center"/>
    </xf>
    <xf numFmtId="0" fontId="62" fillId="0" borderId="21" xfId="0" applyFont="1" applyBorder="1" applyAlignment="1">
      <alignment horizontal="center" vertical="center"/>
    </xf>
    <xf numFmtId="0" fontId="62" fillId="0" borderId="23" xfId="0" applyFont="1" applyBorder="1" applyAlignment="1">
      <alignment/>
    </xf>
    <xf numFmtId="4" fontId="62" fillId="0" borderId="23" xfId="0" applyNumberFormat="1" applyFont="1" applyBorder="1" applyAlignment="1">
      <alignment/>
    </xf>
    <xf numFmtId="2" fontId="62" fillId="0" borderId="23" xfId="0" applyNumberFormat="1" applyFont="1" applyBorder="1" applyAlignment="1">
      <alignment/>
    </xf>
    <xf numFmtId="49" fontId="62" fillId="0" borderId="77" xfId="0" applyNumberFormat="1" applyFont="1" applyBorder="1" applyAlignment="1">
      <alignment horizontal="center"/>
    </xf>
    <xf numFmtId="0" fontId="62" fillId="0" borderId="77" xfId="0" applyFont="1" applyBorder="1" applyAlignment="1">
      <alignment/>
    </xf>
    <xf numFmtId="4" fontId="62" fillId="0" borderId="77" xfId="0" applyNumberFormat="1" applyFont="1" applyBorder="1" applyAlignment="1">
      <alignment/>
    </xf>
    <xf numFmtId="49" fontId="62" fillId="0" borderId="77" xfId="0" applyNumberFormat="1" applyFont="1" applyBorder="1" applyAlignment="1">
      <alignment horizontal="center" vertical="center"/>
    </xf>
    <xf numFmtId="2" fontId="62" fillId="0" borderId="120" xfId="0" applyNumberFormat="1" applyFont="1" applyBorder="1" applyAlignment="1">
      <alignment/>
    </xf>
    <xf numFmtId="4" fontId="63" fillId="0" borderId="10" xfId="0" applyNumberFormat="1" applyFont="1" applyBorder="1" applyAlignment="1">
      <alignment/>
    </xf>
    <xf numFmtId="49" fontId="62" fillId="0" borderId="10" xfId="0" applyNumberFormat="1" applyFont="1" applyBorder="1" applyAlignment="1">
      <alignment horizontal="left" vertical="center"/>
    </xf>
    <xf numFmtId="49" fontId="62" fillId="0" borderId="27" xfId="0" applyNumberFormat="1" applyFont="1" applyBorder="1" applyAlignment="1">
      <alignment horizontal="left" vertical="center"/>
    </xf>
    <xf numFmtId="0" fontId="35" fillId="0" borderId="22" xfId="0" applyFont="1" applyBorder="1" applyAlignment="1">
      <alignment horizontal="center"/>
    </xf>
    <xf numFmtId="0" fontId="35" fillId="0" borderId="22" xfId="0" applyFont="1" applyBorder="1" applyAlignment="1">
      <alignment/>
    </xf>
    <xf numFmtId="43" fontId="35" fillId="0" borderId="119" xfId="36" applyFont="1" applyBorder="1" applyAlignment="1">
      <alignment/>
    </xf>
    <xf numFmtId="0" fontId="0" fillId="0" borderId="0" xfId="0" applyFont="1" applyAlignment="1">
      <alignment/>
    </xf>
    <xf numFmtId="0" fontId="35" fillId="0" borderId="23" xfId="0" applyFont="1" applyBorder="1" applyAlignment="1">
      <alignment horizontal="center"/>
    </xf>
    <xf numFmtId="0" fontId="35" fillId="0" borderId="23" xfId="0" applyFont="1" applyBorder="1" applyAlignment="1">
      <alignment/>
    </xf>
    <xf numFmtId="43" fontId="35" fillId="0" borderId="91" xfId="36" applyFont="1" applyBorder="1" applyAlignment="1">
      <alignment/>
    </xf>
    <xf numFmtId="0" fontId="35" fillId="0" borderId="21" xfId="0" applyFont="1" applyBorder="1" applyAlignment="1">
      <alignment/>
    </xf>
    <xf numFmtId="43" fontId="35" fillId="0" borderId="23" xfId="36" applyFont="1" applyBorder="1" applyAlignment="1">
      <alignment horizontal="left"/>
    </xf>
    <xf numFmtId="43" fontId="35" fillId="0" borderId="23" xfId="0" applyNumberFormat="1" applyFont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43" fontId="30" fillId="0" borderId="13" xfId="36" applyFont="1" applyBorder="1" applyAlignment="1">
      <alignment horizontal="left"/>
    </xf>
    <xf numFmtId="0" fontId="28" fillId="0" borderId="0" xfId="0" applyFont="1" applyAlignment="1">
      <alignment/>
    </xf>
    <xf numFmtId="0" fontId="35" fillId="33" borderId="121" xfId="0" applyFont="1" applyFill="1" applyBorder="1" applyAlignment="1">
      <alignment/>
    </xf>
    <xf numFmtId="43" fontId="53" fillId="33" borderId="122" xfId="36" applyNumberFormat="1" applyFont="1" applyFill="1" applyBorder="1" applyAlignment="1">
      <alignment horizontal="right"/>
    </xf>
    <xf numFmtId="43" fontId="53" fillId="33" borderId="123" xfId="36" applyNumberFormat="1" applyFont="1" applyFill="1" applyBorder="1" applyAlignment="1">
      <alignment horizontal="right"/>
    </xf>
    <xf numFmtId="43" fontId="40" fillId="33" borderId="124" xfId="36" applyNumberFormat="1" applyFont="1" applyFill="1" applyBorder="1" applyAlignment="1">
      <alignment horizontal="right"/>
    </xf>
    <xf numFmtId="43" fontId="40" fillId="33" borderId="123" xfId="36" applyNumberFormat="1" applyFont="1" applyFill="1" applyBorder="1" applyAlignment="1">
      <alignment horizontal="right"/>
    </xf>
    <xf numFmtId="43" fontId="28" fillId="33" borderId="125" xfId="36" applyNumberFormat="1" applyFont="1" applyFill="1" applyBorder="1" applyAlignment="1">
      <alignment horizontal="right"/>
    </xf>
    <xf numFmtId="43" fontId="56" fillId="33" borderId="125" xfId="36" applyNumberFormat="1" applyFont="1" applyFill="1" applyBorder="1" applyAlignment="1">
      <alignment horizontal="right"/>
    </xf>
    <xf numFmtId="43" fontId="56" fillId="33" borderId="123" xfId="36" applyNumberFormat="1" applyFont="1" applyFill="1" applyBorder="1" applyAlignment="1">
      <alignment horizontal="right"/>
    </xf>
    <xf numFmtId="43" fontId="53" fillId="33" borderId="124" xfId="36" applyNumberFormat="1" applyFont="1" applyFill="1" applyBorder="1" applyAlignment="1">
      <alignment horizontal="right"/>
    </xf>
    <xf numFmtId="43" fontId="53" fillId="33" borderId="126" xfId="36" applyNumberFormat="1" applyFont="1" applyFill="1" applyBorder="1" applyAlignment="1">
      <alignment horizontal="right"/>
    </xf>
    <xf numFmtId="39" fontId="39" fillId="33" borderId="127" xfId="0" applyNumberFormat="1" applyFont="1" applyFill="1" applyBorder="1" applyAlignment="1">
      <alignment horizontal="left"/>
    </xf>
    <xf numFmtId="43" fontId="39" fillId="33" borderId="60" xfId="36" applyNumberFormat="1" applyFont="1" applyFill="1" applyBorder="1" applyAlignment="1">
      <alignment horizontal="right"/>
    </xf>
    <xf numFmtId="43" fontId="39" fillId="33" borderId="128" xfId="36" applyNumberFormat="1" applyFont="1" applyFill="1" applyBorder="1" applyAlignment="1">
      <alignment horizontal="right"/>
    </xf>
    <xf numFmtId="43" fontId="39" fillId="33" borderId="129" xfId="36" applyNumberFormat="1" applyFont="1" applyFill="1" applyBorder="1" applyAlignment="1">
      <alignment horizontal="right"/>
    </xf>
    <xf numFmtId="43" fontId="39" fillId="33" borderId="130" xfId="36" applyNumberFormat="1" applyFont="1" applyFill="1" applyBorder="1" applyAlignment="1">
      <alignment horizontal="right"/>
    </xf>
    <xf numFmtId="49" fontId="39" fillId="33" borderId="131" xfId="36" applyNumberFormat="1" applyFont="1" applyFill="1" applyBorder="1" applyAlignment="1">
      <alignment horizontal="center"/>
    </xf>
    <xf numFmtId="39" fontId="35" fillId="33" borderId="132" xfId="0" applyNumberFormat="1" applyFont="1" applyFill="1" applyBorder="1" applyAlignment="1">
      <alignment/>
    </xf>
    <xf numFmtId="0" fontId="35" fillId="33" borderId="133" xfId="0" applyFont="1" applyFill="1" applyBorder="1" applyAlignment="1">
      <alignment/>
    </xf>
    <xf numFmtId="39" fontId="35" fillId="33" borderId="0" xfId="0" applyNumberFormat="1" applyFont="1" applyFill="1" applyBorder="1" applyAlignment="1">
      <alignment horizontal="left"/>
    </xf>
    <xf numFmtId="43" fontId="35" fillId="33" borderId="0" xfId="0" applyNumberFormat="1" applyFont="1" applyFill="1" applyBorder="1" applyAlignment="1">
      <alignment/>
    </xf>
    <xf numFmtId="43" fontId="42" fillId="33" borderId="0" xfId="0" applyNumberFormat="1" applyFont="1" applyFill="1" applyBorder="1" applyAlignment="1">
      <alignment/>
    </xf>
    <xf numFmtId="43" fontId="43" fillId="33" borderId="0" xfId="0" applyNumberFormat="1" applyFont="1" applyFill="1" applyBorder="1" applyAlignment="1">
      <alignment/>
    </xf>
    <xf numFmtId="43" fontId="48" fillId="33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39" fontId="62" fillId="33" borderId="0" xfId="0" applyNumberFormat="1" applyFont="1" applyFill="1" applyAlignment="1">
      <alignment/>
    </xf>
    <xf numFmtId="0" fontId="62" fillId="33" borderId="0" xfId="0" applyFont="1" applyFill="1" applyAlignment="1">
      <alignment/>
    </xf>
    <xf numFmtId="0" fontId="11" fillId="0" borderId="11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2" xfId="0" applyFont="1" applyBorder="1" applyAlignment="1">
      <alignment horizontal="left"/>
    </xf>
    <xf numFmtId="0" fontId="11" fillId="0" borderId="12" xfId="0" applyFont="1" applyBorder="1" applyAlignment="1">
      <alignment/>
    </xf>
    <xf numFmtId="39" fontId="35" fillId="33" borderId="32" xfId="0" applyNumberFormat="1" applyFont="1" applyFill="1" applyBorder="1" applyAlignment="1">
      <alignment horizontal="left"/>
    </xf>
    <xf numFmtId="39" fontId="5" fillId="33" borderId="134" xfId="0" applyNumberFormat="1" applyFont="1" applyFill="1" applyBorder="1" applyAlignment="1">
      <alignment horizontal="left"/>
    </xf>
    <xf numFmtId="43" fontId="5" fillId="33" borderId="134" xfId="36" applyNumberFormat="1" applyFont="1" applyFill="1" applyBorder="1" applyAlignment="1">
      <alignment/>
    </xf>
    <xf numFmtId="39" fontId="5" fillId="33" borderId="0" xfId="0" applyNumberFormat="1" applyFont="1" applyFill="1" applyBorder="1" applyAlignment="1">
      <alignment horizontal="left"/>
    </xf>
    <xf numFmtId="43" fontId="5" fillId="33" borderId="0" xfId="0" applyNumberFormat="1" applyFont="1" applyFill="1" applyBorder="1" applyAlignment="1">
      <alignment/>
    </xf>
    <xf numFmtId="39" fontId="5" fillId="33" borderId="0" xfId="0" applyNumberFormat="1" applyFont="1" applyFill="1" applyBorder="1" applyAlignment="1">
      <alignment horizontal="center"/>
    </xf>
    <xf numFmtId="39" fontId="62" fillId="33" borderId="0" xfId="0" applyNumberFormat="1" applyFont="1" applyFill="1" applyBorder="1" applyAlignment="1">
      <alignment horizontal="left"/>
    </xf>
    <xf numFmtId="39" fontId="62" fillId="33" borderId="0" xfId="0" applyNumberFormat="1" applyFont="1" applyFill="1" applyBorder="1" applyAlignment="1">
      <alignment/>
    </xf>
    <xf numFmtId="39" fontId="48" fillId="33" borderId="0" xfId="0" applyNumberFormat="1" applyFont="1" applyFill="1" applyBorder="1" applyAlignment="1">
      <alignment horizontal="left"/>
    </xf>
    <xf numFmtId="43" fontId="48" fillId="33" borderId="0" xfId="0" applyNumberFormat="1" applyFont="1" applyFill="1" applyBorder="1" applyAlignment="1">
      <alignment/>
    </xf>
    <xf numFmtId="43" fontId="36" fillId="0" borderId="0" xfId="0" applyNumberFormat="1" applyFont="1" applyAlignment="1">
      <alignment/>
    </xf>
    <xf numFmtId="0" fontId="28" fillId="0" borderId="13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0" fillId="0" borderId="0" xfId="0" applyAlignment="1">
      <alignment horizontal="center"/>
    </xf>
    <xf numFmtId="43" fontId="0" fillId="0" borderId="0" xfId="36" applyFont="1" applyAlignment="1">
      <alignment/>
    </xf>
    <xf numFmtId="43" fontId="28" fillId="0" borderId="28" xfId="36" applyFont="1" applyBorder="1" applyAlignment="1">
      <alignment horizontal="center"/>
    </xf>
    <xf numFmtId="15" fontId="35" fillId="0" borderId="22" xfId="0" applyNumberFormat="1" applyFont="1" applyBorder="1" applyAlignment="1">
      <alignment horizontal="center"/>
    </xf>
    <xf numFmtId="43" fontId="35" fillId="0" borderId="22" xfId="36" applyFont="1" applyBorder="1" applyAlignment="1">
      <alignment/>
    </xf>
    <xf numFmtId="15" fontId="35" fillId="0" borderId="23" xfId="0" applyNumberFormat="1" applyFont="1" applyBorder="1" applyAlignment="1">
      <alignment horizontal="center"/>
    </xf>
    <xf numFmtId="43" fontId="35" fillId="0" borderId="23" xfId="36" applyFont="1" applyBorder="1" applyAlignment="1">
      <alignment/>
    </xf>
    <xf numFmtId="0" fontId="35" fillId="0" borderId="104" xfId="0" applyFont="1" applyBorder="1" applyAlignment="1">
      <alignment horizontal="center"/>
    </xf>
    <xf numFmtId="0" fontId="35" fillId="0" borderId="104" xfId="0" applyFont="1" applyBorder="1" applyAlignment="1">
      <alignment/>
    </xf>
    <xf numFmtId="0" fontId="35" fillId="0" borderId="77" xfId="0" applyFont="1" applyBorder="1" applyAlignment="1">
      <alignment/>
    </xf>
    <xf numFmtId="43" fontId="35" fillId="0" borderId="77" xfId="36" applyFont="1" applyBorder="1" applyAlignment="1">
      <alignment/>
    </xf>
    <xf numFmtId="0" fontId="28" fillId="0" borderId="25" xfId="0" applyFont="1" applyBorder="1" applyAlignment="1">
      <alignment/>
    </xf>
    <xf numFmtId="0" fontId="35" fillId="0" borderId="25" xfId="0" applyFont="1" applyBorder="1" applyAlignment="1">
      <alignment/>
    </xf>
    <xf numFmtId="43" fontId="35" fillId="0" borderId="13" xfId="36" applyFont="1" applyBorder="1" applyAlignment="1">
      <alignment horizontal="center"/>
    </xf>
    <xf numFmtId="43" fontId="35" fillId="0" borderId="19" xfId="36" applyFont="1" applyBorder="1" applyAlignment="1">
      <alignment/>
    </xf>
    <xf numFmtId="43" fontId="0" fillId="0" borderId="0" xfId="36" applyFont="1" applyAlignment="1">
      <alignment/>
    </xf>
    <xf numFmtId="43" fontId="28" fillId="0" borderId="25" xfId="36" applyFont="1" applyBorder="1" applyAlignment="1">
      <alignment/>
    </xf>
    <xf numFmtId="43" fontId="35" fillId="0" borderId="10" xfId="36" applyFont="1" applyBorder="1" applyAlignment="1">
      <alignment horizontal="center"/>
    </xf>
    <xf numFmtId="39" fontId="30" fillId="33" borderId="0" xfId="0" applyNumberFormat="1" applyFont="1" applyFill="1" applyAlignment="1" applyProtection="1">
      <alignment horizontal="center"/>
      <protection locked="0"/>
    </xf>
    <xf numFmtId="39" fontId="30" fillId="33" borderId="0" xfId="0" applyNumberFormat="1" applyFont="1" applyFill="1" applyBorder="1" applyAlignment="1">
      <alignment horizontal="center"/>
    </xf>
    <xf numFmtId="39" fontId="30" fillId="33" borderId="0" xfId="0" applyNumberFormat="1" applyFont="1" applyFill="1" applyBorder="1" applyAlignment="1" applyProtection="1">
      <alignment horizontal="center"/>
      <protection locked="0"/>
    </xf>
    <xf numFmtId="39" fontId="28" fillId="33" borderId="135" xfId="0" applyNumberFormat="1" applyFont="1" applyFill="1" applyBorder="1" applyAlignment="1">
      <alignment horizontal="center" vertical="center"/>
    </xf>
    <xf numFmtId="39" fontId="28" fillId="33" borderId="116" xfId="0" applyNumberFormat="1" applyFont="1" applyFill="1" applyBorder="1" applyAlignment="1">
      <alignment horizontal="center" vertical="center"/>
    </xf>
    <xf numFmtId="39" fontId="28" fillId="33" borderId="136" xfId="0" applyNumberFormat="1" applyFont="1" applyFill="1" applyBorder="1" applyAlignment="1">
      <alignment horizontal="center" vertical="center"/>
    </xf>
    <xf numFmtId="39" fontId="28" fillId="33" borderId="137" xfId="0" applyNumberFormat="1" applyFont="1" applyFill="1" applyBorder="1" applyAlignment="1">
      <alignment horizontal="center"/>
    </xf>
    <xf numFmtId="39" fontId="28" fillId="33" borderId="138" xfId="0" applyNumberFormat="1" applyFont="1" applyFill="1" applyBorder="1" applyAlignment="1">
      <alignment horizontal="center"/>
    </xf>
    <xf numFmtId="39" fontId="28" fillId="33" borderId="134" xfId="0" applyNumberFormat="1" applyFont="1" applyFill="1" applyBorder="1" applyAlignment="1">
      <alignment horizontal="center"/>
    </xf>
    <xf numFmtId="49" fontId="28" fillId="33" borderId="20" xfId="0" applyNumberFormat="1" applyFont="1" applyFill="1" applyBorder="1" applyAlignment="1">
      <alignment horizontal="center"/>
    </xf>
    <xf numFmtId="49" fontId="28" fillId="33" borderId="139" xfId="0" applyNumberFormat="1" applyFont="1" applyFill="1" applyBorder="1" applyAlignment="1">
      <alignment horizontal="center"/>
    </xf>
    <xf numFmtId="49" fontId="28" fillId="33" borderId="140" xfId="0" applyNumberFormat="1" applyFont="1" applyFill="1" applyBorder="1" applyAlignment="1">
      <alignment horizontal="center"/>
    </xf>
    <xf numFmtId="49" fontId="28" fillId="33" borderId="17" xfId="0" applyNumberFormat="1" applyFont="1" applyFill="1" applyBorder="1" applyAlignment="1">
      <alignment horizontal="center"/>
    </xf>
    <xf numFmtId="39" fontId="28" fillId="33" borderId="140" xfId="0" applyNumberFormat="1" applyFont="1" applyFill="1" applyBorder="1" applyAlignment="1">
      <alignment horizontal="center"/>
    </xf>
    <xf numFmtId="0" fontId="35" fillId="0" borderId="139" xfId="0" applyFont="1" applyBorder="1" applyAlignment="1">
      <alignment horizontal="center"/>
    </xf>
    <xf numFmtId="39" fontId="28" fillId="33" borderId="128" xfId="0" applyNumberFormat="1" applyFont="1" applyFill="1" applyBorder="1" applyAlignment="1">
      <alignment horizontal="center"/>
    </xf>
    <xf numFmtId="39" fontId="28" fillId="33" borderId="60" xfId="0" applyNumberFormat="1" applyFont="1" applyFill="1" applyBorder="1" applyAlignment="1">
      <alignment horizontal="center"/>
    </xf>
    <xf numFmtId="39" fontId="28" fillId="33" borderId="128" xfId="0" applyNumberFormat="1" applyFont="1" applyFill="1" applyBorder="1" applyAlignment="1" quotePrefix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35" fillId="0" borderId="2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9" fontId="47" fillId="33" borderId="0" xfId="0" applyNumberFormat="1" applyFont="1" applyFill="1" applyAlignment="1" applyProtection="1">
      <alignment horizontal="center"/>
      <protection locked="0"/>
    </xf>
    <xf numFmtId="39" fontId="47" fillId="33" borderId="0" xfId="0" applyNumberFormat="1" applyFont="1" applyFill="1" applyBorder="1" applyAlignment="1">
      <alignment horizontal="center"/>
    </xf>
    <xf numFmtId="39" fontId="47" fillId="33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30" fillId="0" borderId="109" xfId="0" applyFont="1" applyBorder="1" applyAlignment="1">
      <alignment horizontal="center"/>
    </xf>
    <xf numFmtId="0" fontId="30" fillId="0" borderId="3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43" fontId="30" fillId="0" borderId="13" xfId="36" applyFont="1" applyBorder="1" applyAlignment="1">
      <alignment horizontal="center" vertical="center"/>
    </xf>
    <xf numFmtId="43" fontId="30" fillId="0" borderId="19" xfId="36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20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20" xfId="0" applyFont="1" applyBorder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2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6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6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1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16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16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16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167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168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1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7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7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73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7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17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Line 17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Line 17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Line 178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Line 179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18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18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18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Line 18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Line 18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Line 185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Line 18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Line 18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188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18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19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1" name="Text Box 200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" name="Line 20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Line 16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16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1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16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16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16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167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168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1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" name="Line 17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" name="Line 1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" name="Line 17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" name="Line 173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" name="Line 17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" name="Line 17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" name="Line 17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" name="Line 17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" name="Line 178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" name="Line 179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" name="Line 18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" name="Line 18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" name="Line 18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" name="Line 18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" name="Line 18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" name="Line 185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" name="Line 18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" name="Line 18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" name="Line 188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" name="Line 18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" name="Line 19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" name="Line 19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" name="Line 19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" name="Line 19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" name="Line 19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67" name="Text Box 200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" name="Line 20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" name="Line 205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" name="Line 28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" name="Line 28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" name="Line 28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" name="Line 28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" name="Line 28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5" name="Line 28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6" name="Line 287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7" name="Line 288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8" name="Line 28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9" name="Line 29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0" name="Line 29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1" name="Line 29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2" name="Line 293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" name="Line 29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" name="Line 29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5" name="Line 29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6" name="Line 29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7" name="Line 298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8" name="Line 299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9" name="Line 30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" name="Line 30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1" name="Line 30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" name="Line 30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3" name="Line 30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4" name="Line 305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5" name="Line 30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6" name="Line 30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7" name="Line 308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8" name="Line 30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9" name="Line 31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0" name="Line 31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1" name="Line 31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2" name="Line 3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3" name="Line 31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4" name="Text Box 31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5" name="Line 31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6" name="Line 31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7" name="Line 31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8" name="Line 319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9" name="Line 32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0" name="Line 32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1" name="Line 32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2" name="Line 32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3" name="Line 32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4" name="Line 325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5" name="Line 32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6" name="Line 32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7" name="Line 328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8" name="Line 32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9" name="Line 33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0" name="Line 33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1" name="Line 33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2" name="Line 3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3" name="Line 33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4" name="Line 33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5" name="Line 33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6" name="Line 337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7" name="Line 338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8" name="Line 33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9" name="Line 34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0" name="Line 34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1" name="Line 34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2" name="Line 343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3" name="Line 34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4" name="Line 34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5" name="Line 34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6" name="Line 34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7" name="Line 348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8" name="Line 349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9" name="Line 35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0" name="Line 35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1" name="Line 35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2" name="Text Box 35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3" name="Line 35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4" name="Line 35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5" name="Line 35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6" name="Line 357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7" name="Line 358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8" name="Line 35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9" name="Line 36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0" name="Line 36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1" name="Line 36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866775</xdr:colOff>
      <xdr:row>0</xdr:row>
      <xdr:rowOff>0</xdr:rowOff>
    </xdr:from>
    <xdr:to>
      <xdr:col>4</xdr:col>
      <xdr:colOff>866775</xdr:colOff>
      <xdr:row>0</xdr:row>
      <xdr:rowOff>0</xdr:rowOff>
    </xdr:to>
    <xdr:sp>
      <xdr:nvSpPr>
        <xdr:cNvPr id="152" name="Line 363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885825</xdr:colOff>
      <xdr:row>0</xdr:row>
      <xdr:rowOff>0</xdr:rowOff>
    </xdr:from>
    <xdr:to>
      <xdr:col>2</xdr:col>
      <xdr:colOff>885825</xdr:colOff>
      <xdr:row>0</xdr:row>
      <xdr:rowOff>0</xdr:rowOff>
    </xdr:to>
    <xdr:sp>
      <xdr:nvSpPr>
        <xdr:cNvPr id="153" name="Line 364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154" name="Line 365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885825</xdr:colOff>
      <xdr:row>0</xdr:row>
      <xdr:rowOff>0</xdr:rowOff>
    </xdr:from>
    <xdr:to>
      <xdr:col>2</xdr:col>
      <xdr:colOff>885825</xdr:colOff>
      <xdr:row>0</xdr:row>
      <xdr:rowOff>0</xdr:rowOff>
    </xdr:to>
    <xdr:sp>
      <xdr:nvSpPr>
        <xdr:cNvPr id="155" name="Line 366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156" name="Line 367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866775</xdr:colOff>
      <xdr:row>0</xdr:row>
      <xdr:rowOff>0</xdr:rowOff>
    </xdr:from>
    <xdr:to>
      <xdr:col>4</xdr:col>
      <xdr:colOff>866775</xdr:colOff>
      <xdr:row>0</xdr:row>
      <xdr:rowOff>0</xdr:rowOff>
    </xdr:to>
    <xdr:sp>
      <xdr:nvSpPr>
        <xdr:cNvPr id="157" name="Line 368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8" name="Line 369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9" name="Line 37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0" name="Line 3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1" name="Line 3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2" name="Line 373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3" name="Line 37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164" name="Line 375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885825</xdr:colOff>
      <xdr:row>0</xdr:row>
      <xdr:rowOff>0</xdr:rowOff>
    </xdr:from>
    <xdr:to>
      <xdr:col>2</xdr:col>
      <xdr:colOff>885825</xdr:colOff>
      <xdr:row>0</xdr:row>
      <xdr:rowOff>0</xdr:rowOff>
    </xdr:to>
    <xdr:sp>
      <xdr:nvSpPr>
        <xdr:cNvPr id="165" name="Line 376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0</xdr:row>
      <xdr:rowOff>0</xdr:rowOff>
    </xdr:from>
    <xdr:to>
      <xdr:col>3</xdr:col>
      <xdr:colOff>876300</xdr:colOff>
      <xdr:row>0</xdr:row>
      <xdr:rowOff>0</xdr:rowOff>
    </xdr:to>
    <xdr:sp>
      <xdr:nvSpPr>
        <xdr:cNvPr id="166" name="Line 377"/>
        <xdr:cNvSpPr>
          <a:spLocks/>
        </xdr:cNvSpPr>
      </xdr:nvSpPr>
      <xdr:spPr>
        <a:xfrm>
          <a:off x="623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67" name="Line 378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168" name="Line 379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885825</xdr:colOff>
      <xdr:row>0</xdr:row>
      <xdr:rowOff>0</xdr:rowOff>
    </xdr:from>
    <xdr:to>
      <xdr:col>3</xdr:col>
      <xdr:colOff>885825</xdr:colOff>
      <xdr:row>0</xdr:row>
      <xdr:rowOff>0</xdr:rowOff>
    </xdr:to>
    <xdr:sp>
      <xdr:nvSpPr>
        <xdr:cNvPr id="169" name="Line 380"/>
        <xdr:cNvSpPr>
          <a:spLocks/>
        </xdr:cNvSpPr>
      </xdr:nvSpPr>
      <xdr:spPr>
        <a:xfrm>
          <a:off x="624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170" name="Line 381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71" name="Line 382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72" name="Line 383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73" name="Line 384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174" name="Line 385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175" name="Line 386"/>
        <xdr:cNvSpPr>
          <a:spLocks/>
        </xdr:cNvSpPr>
      </xdr:nvSpPr>
      <xdr:spPr>
        <a:xfrm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176" name="Line 387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77" name="Line 388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78" name="Line 389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79" name="Line 390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180" name="Line 391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181" name="Line 392"/>
        <xdr:cNvSpPr>
          <a:spLocks/>
        </xdr:cNvSpPr>
      </xdr:nvSpPr>
      <xdr:spPr>
        <a:xfrm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182" name="Line 393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83" name="Line 394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84" name="Line 395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85" name="Line 396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186" name="Line 397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187" name="Line 398"/>
        <xdr:cNvSpPr>
          <a:spLocks/>
        </xdr:cNvSpPr>
      </xdr:nvSpPr>
      <xdr:spPr>
        <a:xfrm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188" name="Line 399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89" name="Line 400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90" name="Line 401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91" name="Line 402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192" name="Line 403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193" name="Line 404"/>
        <xdr:cNvSpPr>
          <a:spLocks/>
        </xdr:cNvSpPr>
      </xdr:nvSpPr>
      <xdr:spPr>
        <a:xfrm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194" name="Line 405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95" name="Line 406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96" name="Line 407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866775</xdr:colOff>
      <xdr:row>0</xdr:row>
      <xdr:rowOff>0</xdr:rowOff>
    </xdr:from>
    <xdr:to>
      <xdr:col>4</xdr:col>
      <xdr:colOff>866775</xdr:colOff>
      <xdr:row>0</xdr:row>
      <xdr:rowOff>0</xdr:rowOff>
    </xdr:to>
    <xdr:sp>
      <xdr:nvSpPr>
        <xdr:cNvPr id="197" name="Line 408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885825</xdr:colOff>
      <xdr:row>0</xdr:row>
      <xdr:rowOff>0</xdr:rowOff>
    </xdr:from>
    <xdr:to>
      <xdr:col>2</xdr:col>
      <xdr:colOff>885825</xdr:colOff>
      <xdr:row>0</xdr:row>
      <xdr:rowOff>0</xdr:rowOff>
    </xdr:to>
    <xdr:sp>
      <xdr:nvSpPr>
        <xdr:cNvPr id="198" name="Line 409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199" name="Line 410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885825</xdr:colOff>
      <xdr:row>0</xdr:row>
      <xdr:rowOff>0</xdr:rowOff>
    </xdr:from>
    <xdr:to>
      <xdr:col>2</xdr:col>
      <xdr:colOff>885825</xdr:colOff>
      <xdr:row>0</xdr:row>
      <xdr:rowOff>0</xdr:rowOff>
    </xdr:to>
    <xdr:sp>
      <xdr:nvSpPr>
        <xdr:cNvPr id="200" name="Line 411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201" name="Line 412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866775</xdr:colOff>
      <xdr:row>0</xdr:row>
      <xdr:rowOff>0</xdr:rowOff>
    </xdr:from>
    <xdr:to>
      <xdr:col>4</xdr:col>
      <xdr:colOff>866775</xdr:colOff>
      <xdr:row>0</xdr:row>
      <xdr:rowOff>0</xdr:rowOff>
    </xdr:to>
    <xdr:sp>
      <xdr:nvSpPr>
        <xdr:cNvPr id="202" name="Line 413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885825</xdr:colOff>
      <xdr:row>0</xdr:row>
      <xdr:rowOff>0</xdr:rowOff>
    </xdr:from>
    <xdr:to>
      <xdr:col>2</xdr:col>
      <xdr:colOff>885825</xdr:colOff>
      <xdr:row>0</xdr:row>
      <xdr:rowOff>0</xdr:rowOff>
    </xdr:to>
    <xdr:sp>
      <xdr:nvSpPr>
        <xdr:cNvPr id="203" name="Line 414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204" name="Line 415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866775</xdr:colOff>
      <xdr:row>0</xdr:row>
      <xdr:rowOff>0</xdr:rowOff>
    </xdr:from>
    <xdr:to>
      <xdr:col>4</xdr:col>
      <xdr:colOff>866775</xdr:colOff>
      <xdr:row>0</xdr:row>
      <xdr:rowOff>0</xdr:rowOff>
    </xdr:to>
    <xdr:sp>
      <xdr:nvSpPr>
        <xdr:cNvPr id="205" name="Line 416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206" name="Line 417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885825</xdr:colOff>
      <xdr:row>0</xdr:row>
      <xdr:rowOff>0</xdr:rowOff>
    </xdr:from>
    <xdr:to>
      <xdr:col>2</xdr:col>
      <xdr:colOff>885825</xdr:colOff>
      <xdr:row>0</xdr:row>
      <xdr:rowOff>0</xdr:rowOff>
    </xdr:to>
    <xdr:sp>
      <xdr:nvSpPr>
        <xdr:cNvPr id="207" name="Line 418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208" name="Line 419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885825</xdr:colOff>
      <xdr:row>0</xdr:row>
      <xdr:rowOff>0</xdr:rowOff>
    </xdr:from>
    <xdr:to>
      <xdr:col>2</xdr:col>
      <xdr:colOff>885825</xdr:colOff>
      <xdr:row>0</xdr:row>
      <xdr:rowOff>0</xdr:rowOff>
    </xdr:to>
    <xdr:sp>
      <xdr:nvSpPr>
        <xdr:cNvPr id="209" name="Line 420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210" name="Line 421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866775</xdr:colOff>
      <xdr:row>0</xdr:row>
      <xdr:rowOff>0</xdr:rowOff>
    </xdr:from>
    <xdr:to>
      <xdr:col>4</xdr:col>
      <xdr:colOff>866775</xdr:colOff>
      <xdr:row>0</xdr:row>
      <xdr:rowOff>0</xdr:rowOff>
    </xdr:to>
    <xdr:sp>
      <xdr:nvSpPr>
        <xdr:cNvPr id="211" name="Line 422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212" name="Line 42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895350</xdr:colOff>
      <xdr:row>0</xdr:row>
      <xdr:rowOff>0</xdr:rowOff>
    </xdr:from>
    <xdr:to>
      <xdr:col>2</xdr:col>
      <xdr:colOff>895350</xdr:colOff>
      <xdr:row>0</xdr:row>
      <xdr:rowOff>0</xdr:rowOff>
    </xdr:to>
    <xdr:sp>
      <xdr:nvSpPr>
        <xdr:cNvPr id="213" name="Line 424"/>
        <xdr:cNvSpPr>
          <a:spLocks/>
        </xdr:cNvSpPr>
      </xdr:nvSpPr>
      <xdr:spPr>
        <a:xfrm flipH="1"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214" name="Line 425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895350</xdr:colOff>
      <xdr:row>0</xdr:row>
      <xdr:rowOff>0</xdr:rowOff>
    </xdr:from>
    <xdr:to>
      <xdr:col>2</xdr:col>
      <xdr:colOff>895350</xdr:colOff>
      <xdr:row>0</xdr:row>
      <xdr:rowOff>0</xdr:rowOff>
    </xdr:to>
    <xdr:sp>
      <xdr:nvSpPr>
        <xdr:cNvPr id="215" name="Line 426"/>
        <xdr:cNvSpPr>
          <a:spLocks/>
        </xdr:cNvSpPr>
      </xdr:nvSpPr>
      <xdr:spPr>
        <a:xfrm flipH="1"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216" name="Line 427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866775</xdr:colOff>
      <xdr:row>0</xdr:row>
      <xdr:rowOff>0</xdr:rowOff>
    </xdr:from>
    <xdr:to>
      <xdr:col>4</xdr:col>
      <xdr:colOff>866775</xdr:colOff>
      <xdr:row>0</xdr:row>
      <xdr:rowOff>0</xdr:rowOff>
    </xdr:to>
    <xdr:sp>
      <xdr:nvSpPr>
        <xdr:cNvPr id="217" name="Line 428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218" name="Line 429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895350</xdr:colOff>
      <xdr:row>0</xdr:row>
      <xdr:rowOff>0</xdr:rowOff>
    </xdr:from>
    <xdr:to>
      <xdr:col>2</xdr:col>
      <xdr:colOff>895350</xdr:colOff>
      <xdr:row>0</xdr:row>
      <xdr:rowOff>0</xdr:rowOff>
    </xdr:to>
    <xdr:sp>
      <xdr:nvSpPr>
        <xdr:cNvPr id="219" name="Line 430"/>
        <xdr:cNvSpPr>
          <a:spLocks/>
        </xdr:cNvSpPr>
      </xdr:nvSpPr>
      <xdr:spPr>
        <a:xfrm flipH="1"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220" name="Line 431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895350</xdr:colOff>
      <xdr:row>0</xdr:row>
      <xdr:rowOff>0</xdr:rowOff>
    </xdr:from>
    <xdr:to>
      <xdr:col>2</xdr:col>
      <xdr:colOff>895350</xdr:colOff>
      <xdr:row>0</xdr:row>
      <xdr:rowOff>0</xdr:rowOff>
    </xdr:to>
    <xdr:sp>
      <xdr:nvSpPr>
        <xdr:cNvPr id="221" name="Line 432"/>
        <xdr:cNvSpPr>
          <a:spLocks/>
        </xdr:cNvSpPr>
      </xdr:nvSpPr>
      <xdr:spPr>
        <a:xfrm flipH="1"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222" name="Line 433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866775</xdr:colOff>
      <xdr:row>0</xdr:row>
      <xdr:rowOff>0</xdr:rowOff>
    </xdr:from>
    <xdr:to>
      <xdr:col>4</xdr:col>
      <xdr:colOff>866775</xdr:colOff>
      <xdr:row>0</xdr:row>
      <xdr:rowOff>0</xdr:rowOff>
    </xdr:to>
    <xdr:sp>
      <xdr:nvSpPr>
        <xdr:cNvPr id="223" name="Line 434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24" name="Line 435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25" name="Line 436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885825</xdr:colOff>
      <xdr:row>0</xdr:row>
      <xdr:rowOff>0</xdr:rowOff>
    </xdr:from>
    <xdr:to>
      <xdr:col>3</xdr:col>
      <xdr:colOff>885825</xdr:colOff>
      <xdr:row>0</xdr:row>
      <xdr:rowOff>0</xdr:rowOff>
    </xdr:to>
    <xdr:sp>
      <xdr:nvSpPr>
        <xdr:cNvPr id="226" name="Line 437"/>
        <xdr:cNvSpPr>
          <a:spLocks/>
        </xdr:cNvSpPr>
      </xdr:nvSpPr>
      <xdr:spPr>
        <a:xfrm>
          <a:off x="624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27" name="Line 438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28" name="Line 439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29" name="Line 440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30" name="Line 441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31" name="Line 442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232" name="Line 443"/>
        <xdr:cNvSpPr>
          <a:spLocks/>
        </xdr:cNvSpPr>
      </xdr:nvSpPr>
      <xdr:spPr>
        <a:xfrm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33" name="Line 444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34" name="Line 445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35" name="Line 446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36" name="Line 447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37" name="Line 448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238" name="Line 449"/>
        <xdr:cNvSpPr>
          <a:spLocks/>
        </xdr:cNvSpPr>
      </xdr:nvSpPr>
      <xdr:spPr>
        <a:xfrm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39" name="Line 450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40" name="Line 451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41" name="Line 452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42" name="Line 453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43" name="Line 454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244" name="Line 455"/>
        <xdr:cNvSpPr>
          <a:spLocks/>
        </xdr:cNvSpPr>
      </xdr:nvSpPr>
      <xdr:spPr>
        <a:xfrm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45" name="Line 456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46" name="Line 457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47" name="Line 458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48" name="Line 459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49" name="Line 460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250" name="Line 461"/>
        <xdr:cNvSpPr>
          <a:spLocks/>
        </xdr:cNvSpPr>
      </xdr:nvSpPr>
      <xdr:spPr>
        <a:xfrm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51" name="Line 462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52" name="Line 463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53" name="Line 464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254" name="Line 465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885825</xdr:colOff>
      <xdr:row>0</xdr:row>
      <xdr:rowOff>0</xdr:rowOff>
    </xdr:from>
    <xdr:to>
      <xdr:col>2</xdr:col>
      <xdr:colOff>885825</xdr:colOff>
      <xdr:row>0</xdr:row>
      <xdr:rowOff>0</xdr:rowOff>
    </xdr:to>
    <xdr:sp>
      <xdr:nvSpPr>
        <xdr:cNvPr id="255" name="Line 466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256" name="Line 467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57" name="Line 468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885825</xdr:colOff>
      <xdr:row>0</xdr:row>
      <xdr:rowOff>0</xdr:rowOff>
    </xdr:from>
    <xdr:to>
      <xdr:col>3</xdr:col>
      <xdr:colOff>885825</xdr:colOff>
      <xdr:row>0</xdr:row>
      <xdr:rowOff>0</xdr:rowOff>
    </xdr:to>
    <xdr:sp>
      <xdr:nvSpPr>
        <xdr:cNvPr id="258" name="Line 469"/>
        <xdr:cNvSpPr>
          <a:spLocks/>
        </xdr:cNvSpPr>
      </xdr:nvSpPr>
      <xdr:spPr>
        <a:xfrm>
          <a:off x="624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59" name="Line 470"/>
        <xdr:cNvSpPr>
          <a:spLocks/>
        </xdr:cNvSpPr>
      </xdr:nvSpPr>
      <xdr:spPr>
        <a:xfrm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60" name="Line 471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61" name="Line 472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885825</xdr:colOff>
      <xdr:row>0</xdr:row>
      <xdr:rowOff>0</xdr:rowOff>
    </xdr:from>
    <xdr:to>
      <xdr:col>3</xdr:col>
      <xdr:colOff>885825</xdr:colOff>
      <xdr:row>0</xdr:row>
      <xdr:rowOff>0</xdr:rowOff>
    </xdr:to>
    <xdr:sp>
      <xdr:nvSpPr>
        <xdr:cNvPr id="262" name="Line 473"/>
        <xdr:cNvSpPr>
          <a:spLocks/>
        </xdr:cNvSpPr>
      </xdr:nvSpPr>
      <xdr:spPr>
        <a:xfrm>
          <a:off x="624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63" name="Line 474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64" name="Line 475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65" name="Line 476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66" name="Line 477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67" name="Line 478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268" name="Line 479"/>
        <xdr:cNvSpPr>
          <a:spLocks/>
        </xdr:cNvSpPr>
      </xdr:nvSpPr>
      <xdr:spPr>
        <a:xfrm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69" name="Line 480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70" name="Line 481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71" name="Line 482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72" name="Line 483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73" name="Line 484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274" name="Line 485"/>
        <xdr:cNvSpPr>
          <a:spLocks/>
        </xdr:cNvSpPr>
      </xdr:nvSpPr>
      <xdr:spPr>
        <a:xfrm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75" name="Line 486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76" name="Line 487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77" name="Line 488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78" name="Line 489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79" name="Line 490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280" name="Line 491"/>
        <xdr:cNvSpPr>
          <a:spLocks/>
        </xdr:cNvSpPr>
      </xdr:nvSpPr>
      <xdr:spPr>
        <a:xfrm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81" name="Line 492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82" name="Line 493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83" name="Line 494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84" name="Line 495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85" name="Line 496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286" name="Line 497"/>
        <xdr:cNvSpPr>
          <a:spLocks/>
        </xdr:cNvSpPr>
      </xdr:nvSpPr>
      <xdr:spPr>
        <a:xfrm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287" name="Line 498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88" name="Line 499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89" name="Line 500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0</xdr:row>
      <xdr:rowOff>0</xdr:rowOff>
    </xdr:from>
    <xdr:to>
      <xdr:col>4</xdr:col>
      <xdr:colOff>885825</xdr:colOff>
      <xdr:row>0</xdr:row>
      <xdr:rowOff>0</xdr:rowOff>
    </xdr:to>
    <xdr:sp>
      <xdr:nvSpPr>
        <xdr:cNvPr id="290" name="Line 501"/>
        <xdr:cNvSpPr>
          <a:spLocks/>
        </xdr:cNvSpPr>
      </xdr:nvSpPr>
      <xdr:spPr>
        <a:xfrm flipH="1">
          <a:off x="73247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876300</xdr:colOff>
      <xdr:row>0</xdr:row>
      <xdr:rowOff>0</xdr:rowOff>
    </xdr:from>
    <xdr:to>
      <xdr:col>2</xdr:col>
      <xdr:colOff>895350</xdr:colOff>
      <xdr:row>0</xdr:row>
      <xdr:rowOff>0</xdr:rowOff>
    </xdr:to>
    <xdr:sp>
      <xdr:nvSpPr>
        <xdr:cNvPr id="291" name="Line 502"/>
        <xdr:cNvSpPr>
          <a:spLocks/>
        </xdr:cNvSpPr>
      </xdr:nvSpPr>
      <xdr:spPr>
        <a:xfrm>
          <a:off x="5133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885825</xdr:colOff>
      <xdr:row>0</xdr:row>
      <xdr:rowOff>0</xdr:rowOff>
    </xdr:from>
    <xdr:to>
      <xdr:col>3</xdr:col>
      <xdr:colOff>885825</xdr:colOff>
      <xdr:row>0</xdr:row>
      <xdr:rowOff>0</xdr:rowOff>
    </xdr:to>
    <xdr:sp>
      <xdr:nvSpPr>
        <xdr:cNvPr id="292" name="Line 503"/>
        <xdr:cNvSpPr>
          <a:spLocks/>
        </xdr:cNvSpPr>
      </xdr:nvSpPr>
      <xdr:spPr>
        <a:xfrm>
          <a:off x="624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895350</xdr:colOff>
      <xdr:row>0</xdr:row>
      <xdr:rowOff>0</xdr:rowOff>
    </xdr:from>
    <xdr:to>
      <xdr:col>2</xdr:col>
      <xdr:colOff>895350</xdr:colOff>
      <xdr:row>0</xdr:row>
      <xdr:rowOff>0</xdr:rowOff>
    </xdr:to>
    <xdr:sp>
      <xdr:nvSpPr>
        <xdr:cNvPr id="293" name="Line 504"/>
        <xdr:cNvSpPr>
          <a:spLocks/>
        </xdr:cNvSpPr>
      </xdr:nvSpPr>
      <xdr:spPr>
        <a:xfrm flipH="1"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4</xdr:col>
      <xdr:colOff>981075</xdr:colOff>
      <xdr:row>0</xdr:row>
      <xdr:rowOff>0</xdr:rowOff>
    </xdr:to>
    <xdr:sp>
      <xdr:nvSpPr>
        <xdr:cNvPr id="294" name="Text Box 505"/>
        <xdr:cNvSpPr txBox="1">
          <a:spLocks noChangeArrowheads="1"/>
        </xdr:cNvSpPr>
      </xdr:nvSpPr>
      <xdr:spPr>
        <a:xfrm>
          <a:off x="6524625" y="0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1</a:t>
          </a:r>
        </a:p>
      </xdr:txBody>
    </xdr:sp>
    <xdr:clientData/>
  </xdr:twoCellAnchor>
  <xdr:twoCellAnchor>
    <xdr:from>
      <xdr:col>2</xdr:col>
      <xdr:colOff>895350</xdr:colOff>
      <xdr:row>0</xdr:row>
      <xdr:rowOff>0</xdr:rowOff>
    </xdr:from>
    <xdr:to>
      <xdr:col>2</xdr:col>
      <xdr:colOff>895350</xdr:colOff>
      <xdr:row>0</xdr:row>
      <xdr:rowOff>0</xdr:rowOff>
    </xdr:to>
    <xdr:sp>
      <xdr:nvSpPr>
        <xdr:cNvPr id="295" name="Line 506"/>
        <xdr:cNvSpPr>
          <a:spLocks/>
        </xdr:cNvSpPr>
      </xdr:nvSpPr>
      <xdr:spPr>
        <a:xfrm flipH="1"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885825</xdr:colOff>
      <xdr:row>0</xdr:row>
      <xdr:rowOff>0</xdr:rowOff>
    </xdr:from>
    <xdr:to>
      <xdr:col>3</xdr:col>
      <xdr:colOff>885825</xdr:colOff>
      <xdr:row>0</xdr:row>
      <xdr:rowOff>0</xdr:rowOff>
    </xdr:to>
    <xdr:sp>
      <xdr:nvSpPr>
        <xdr:cNvPr id="296" name="Line 507"/>
        <xdr:cNvSpPr>
          <a:spLocks/>
        </xdr:cNvSpPr>
      </xdr:nvSpPr>
      <xdr:spPr>
        <a:xfrm>
          <a:off x="624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0</xdr:rowOff>
    </xdr:from>
    <xdr:to>
      <xdr:col>4</xdr:col>
      <xdr:colOff>885825</xdr:colOff>
      <xdr:row>0</xdr:row>
      <xdr:rowOff>0</xdr:rowOff>
    </xdr:to>
    <xdr:sp>
      <xdr:nvSpPr>
        <xdr:cNvPr id="297" name="Line 508"/>
        <xdr:cNvSpPr>
          <a:spLocks/>
        </xdr:cNvSpPr>
      </xdr:nvSpPr>
      <xdr:spPr>
        <a:xfrm>
          <a:off x="733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895350</xdr:colOff>
      <xdr:row>0</xdr:row>
      <xdr:rowOff>0</xdr:rowOff>
    </xdr:from>
    <xdr:to>
      <xdr:col>2</xdr:col>
      <xdr:colOff>895350</xdr:colOff>
      <xdr:row>0</xdr:row>
      <xdr:rowOff>0</xdr:rowOff>
    </xdr:to>
    <xdr:sp>
      <xdr:nvSpPr>
        <xdr:cNvPr id="298" name="Line 509"/>
        <xdr:cNvSpPr>
          <a:spLocks/>
        </xdr:cNvSpPr>
      </xdr:nvSpPr>
      <xdr:spPr>
        <a:xfrm flipH="1"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19050</xdr:rowOff>
    </xdr:from>
    <xdr:to>
      <xdr:col>0</xdr:col>
      <xdr:colOff>0</xdr:colOff>
      <xdr:row>71</xdr:row>
      <xdr:rowOff>28575</xdr:rowOff>
    </xdr:to>
    <xdr:sp>
      <xdr:nvSpPr>
        <xdr:cNvPr id="299" name="Line 663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35</xdr:row>
      <xdr:rowOff>0</xdr:rowOff>
    </xdr:to>
    <xdr:sp>
      <xdr:nvSpPr>
        <xdr:cNvPr id="300" name="Line 66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71</xdr:row>
      <xdr:rowOff>0</xdr:rowOff>
    </xdr:to>
    <xdr:sp>
      <xdr:nvSpPr>
        <xdr:cNvPr id="301" name="Line 66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71</xdr:row>
      <xdr:rowOff>0</xdr:rowOff>
    </xdr:to>
    <xdr:sp>
      <xdr:nvSpPr>
        <xdr:cNvPr id="302" name="Line 66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34</xdr:row>
      <xdr:rowOff>247650</xdr:rowOff>
    </xdr:to>
    <xdr:sp>
      <xdr:nvSpPr>
        <xdr:cNvPr id="303" name="Line 667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34</xdr:row>
      <xdr:rowOff>247650</xdr:rowOff>
    </xdr:to>
    <xdr:sp>
      <xdr:nvSpPr>
        <xdr:cNvPr id="304" name="Line 66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866775</xdr:colOff>
      <xdr:row>8</xdr:row>
      <xdr:rowOff>19050</xdr:rowOff>
    </xdr:from>
    <xdr:to>
      <xdr:col>4</xdr:col>
      <xdr:colOff>866775</xdr:colOff>
      <xdr:row>35</xdr:row>
      <xdr:rowOff>9525</xdr:rowOff>
    </xdr:to>
    <xdr:sp>
      <xdr:nvSpPr>
        <xdr:cNvPr id="305" name="Line 669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885825</xdr:colOff>
      <xdr:row>7</xdr:row>
      <xdr:rowOff>238125</xdr:rowOff>
    </xdr:from>
    <xdr:to>
      <xdr:col>2</xdr:col>
      <xdr:colOff>885825</xdr:colOff>
      <xdr:row>34</xdr:row>
      <xdr:rowOff>247650</xdr:rowOff>
    </xdr:to>
    <xdr:sp>
      <xdr:nvSpPr>
        <xdr:cNvPr id="306" name="Line 670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8</xdr:row>
      <xdr:rowOff>0</xdr:rowOff>
    </xdr:from>
    <xdr:to>
      <xdr:col>3</xdr:col>
      <xdr:colOff>866775</xdr:colOff>
      <xdr:row>35</xdr:row>
      <xdr:rowOff>0</xdr:rowOff>
    </xdr:to>
    <xdr:sp>
      <xdr:nvSpPr>
        <xdr:cNvPr id="307" name="Line 671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885825</xdr:colOff>
      <xdr:row>40</xdr:row>
      <xdr:rowOff>9525</xdr:rowOff>
    </xdr:from>
    <xdr:to>
      <xdr:col>2</xdr:col>
      <xdr:colOff>885825</xdr:colOff>
      <xdr:row>70</xdr:row>
      <xdr:rowOff>304800</xdr:rowOff>
    </xdr:to>
    <xdr:sp>
      <xdr:nvSpPr>
        <xdr:cNvPr id="308" name="Line 672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40</xdr:row>
      <xdr:rowOff>9525</xdr:rowOff>
    </xdr:from>
    <xdr:to>
      <xdr:col>3</xdr:col>
      <xdr:colOff>866775</xdr:colOff>
      <xdr:row>70</xdr:row>
      <xdr:rowOff>304800</xdr:rowOff>
    </xdr:to>
    <xdr:sp>
      <xdr:nvSpPr>
        <xdr:cNvPr id="309" name="Line 673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866775</xdr:colOff>
      <xdr:row>40</xdr:row>
      <xdr:rowOff>9525</xdr:rowOff>
    </xdr:from>
    <xdr:to>
      <xdr:col>4</xdr:col>
      <xdr:colOff>866775</xdr:colOff>
      <xdr:row>70</xdr:row>
      <xdr:rowOff>295275</xdr:rowOff>
    </xdr:to>
    <xdr:sp>
      <xdr:nvSpPr>
        <xdr:cNvPr id="310" name="Line 674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19050</xdr:rowOff>
    </xdr:from>
    <xdr:to>
      <xdr:col>0</xdr:col>
      <xdr:colOff>0</xdr:colOff>
      <xdr:row>153</xdr:row>
      <xdr:rowOff>28575</xdr:rowOff>
    </xdr:to>
    <xdr:sp>
      <xdr:nvSpPr>
        <xdr:cNvPr id="311" name="Line 675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87</xdr:row>
      <xdr:rowOff>9525</xdr:rowOff>
    </xdr:from>
    <xdr:to>
      <xdr:col>0</xdr:col>
      <xdr:colOff>0</xdr:colOff>
      <xdr:row>116</xdr:row>
      <xdr:rowOff>0</xdr:rowOff>
    </xdr:to>
    <xdr:sp>
      <xdr:nvSpPr>
        <xdr:cNvPr id="312" name="Line 67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9525</xdr:rowOff>
    </xdr:from>
    <xdr:to>
      <xdr:col>0</xdr:col>
      <xdr:colOff>0</xdr:colOff>
      <xdr:row>153</xdr:row>
      <xdr:rowOff>0</xdr:rowOff>
    </xdr:to>
    <xdr:sp>
      <xdr:nvSpPr>
        <xdr:cNvPr id="313" name="Line 67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0</xdr:colOff>
      <xdr:row>153</xdr:row>
      <xdr:rowOff>0</xdr:rowOff>
    </xdr:to>
    <xdr:sp>
      <xdr:nvSpPr>
        <xdr:cNvPr id="314" name="Line 67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87</xdr:row>
      <xdr:rowOff>9525</xdr:rowOff>
    </xdr:from>
    <xdr:to>
      <xdr:col>0</xdr:col>
      <xdr:colOff>0</xdr:colOff>
      <xdr:row>115</xdr:row>
      <xdr:rowOff>238125</xdr:rowOff>
    </xdr:to>
    <xdr:sp>
      <xdr:nvSpPr>
        <xdr:cNvPr id="315" name="Line 679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0</xdr:colOff>
      <xdr:row>115</xdr:row>
      <xdr:rowOff>238125</xdr:rowOff>
    </xdr:to>
    <xdr:sp>
      <xdr:nvSpPr>
        <xdr:cNvPr id="316" name="Line 68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155</xdr:row>
      <xdr:rowOff>0</xdr:rowOff>
    </xdr:from>
    <xdr:to>
      <xdr:col>4</xdr:col>
      <xdr:colOff>876300</xdr:colOff>
      <xdr:row>182</xdr:row>
      <xdr:rowOff>247650</xdr:rowOff>
    </xdr:to>
    <xdr:sp>
      <xdr:nvSpPr>
        <xdr:cNvPr id="317" name="Line 681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885825</xdr:colOff>
      <xdr:row>155</xdr:row>
      <xdr:rowOff>9525</xdr:rowOff>
    </xdr:from>
    <xdr:to>
      <xdr:col>2</xdr:col>
      <xdr:colOff>885825</xdr:colOff>
      <xdr:row>182</xdr:row>
      <xdr:rowOff>247650</xdr:rowOff>
    </xdr:to>
    <xdr:sp>
      <xdr:nvSpPr>
        <xdr:cNvPr id="318" name="Line 682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154</xdr:row>
      <xdr:rowOff>238125</xdr:rowOff>
    </xdr:from>
    <xdr:to>
      <xdr:col>3</xdr:col>
      <xdr:colOff>876300</xdr:colOff>
      <xdr:row>182</xdr:row>
      <xdr:rowOff>247650</xdr:rowOff>
    </xdr:to>
    <xdr:sp>
      <xdr:nvSpPr>
        <xdr:cNvPr id="319" name="Line 683"/>
        <xdr:cNvSpPr>
          <a:spLocks/>
        </xdr:cNvSpPr>
      </xdr:nvSpPr>
      <xdr:spPr>
        <a:xfrm>
          <a:off x="623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372</xdr:row>
      <xdr:rowOff>0</xdr:rowOff>
    </xdr:from>
    <xdr:to>
      <xdr:col>4</xdr:col>
      <xdr:colOff>895350</xdr:colOff>
      <xdr:row>372</xdr:row>
      <xdr:rowOff>0</xdr:rowOff>
    </xdr:to>
    <xdr:sp>
      <xdr:nvSpPr>
        <xdr:cNvPr id="320" name="Line 684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372</xdr:row>
      <xdr:rowOff>0</xdr:rowOff>
    </xdr:from>
    <xdr:to>
      <xdr:col>2</xdr:col>
      <xdr:colOff>914400</xdr:colOff>
      <xdr:row>372</xdr:row>
      <xdr:rowOff>0</xdr:rowOff>
    </xdr:to>
    <xdr:sp>
      <xdr:nvSpPr>
        <xdr:cNvPr id="321" name="Line 685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885825</xdr:colOff>
      <xdr:row>372</xdr:row>
      <xdr:rowOff>0</xdr:rowOff>
    </xdr:from>
    <xdr:to>
      <xdr:col>3</xdr:col>
      <xdr:colOff>885825</xdr:colOff>
      <xdr:row>372</xdr:row>
      <xdr:rowOff>0</xdr:rowOff>
    </xdr:to>
    <xdr:sp>
      <xdr:nvSpPr>
        <xdr:cNvPr id="322" name="Line 686"/>
        <xdr:cNvSpPr>
          <a:spLocks/>
        </xdr:cNvSpPr>
      </xdr:nvSpPr>
      <xdr:spPr>
        <a:xfrm>
          <a:off x="624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372</xdr:row>
      <xdr:rowOff>0</xdr:rowOff>
    </xdr:from>
    <xdr:to>
      <xdr:col>2</xdr:col>
      <xdr:colOff>914400</xdr:colOff>
      <xdr:row>372</xdr:row>
      <xdr:rowOff>0</xdr:rowOff>
    </xdr:to>
    <xdr:sp>
      <xdr:nvSpPr>
        <xdr:cNvPr id="323" name="Line 687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372</xdr:row>
      <xdr:rowOff>0</xdr:rowOff>
    </xdr:from>
    <xdr:to>
      <xdr:col>3</xdr:col>
      <xdr:colOff>904875</xdr:colOff>
      <xdr:row>372</xdr:row>
      <xdr:rowOff>0</xdr:rowOff>
    </xdr:to>
    <xdr:sp>
      <xdr:nvSpPr>
        <xdr:cNvPr id="324" name="Line 688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372</xdr:row>
      <xdr:rowOff>0</xdr:rowOff>
    </xdr:from>
    <xdr:to>
      <xdr:col>4</xdr:col>
      <xdr:colOff>895350</xdr:colOff>
      <xdr:row>372</xdr:row>
      <xdr:rowOff>0</xdr:rowOff>
    </xdr:to>
    <xdr:sp>
      <xdr:nvSpPr>
        <xdr:cNvPr id="325" name="Line 689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372</xdr:row>
      <xdr:rowOff>0</xdr:rowOff>
    </xdr:from>
    <xdr:to>
      <xdr:col>4</xdr:col>
      <xdr:colOff>895350</xdr:colOff>
      <xdr:row>372</xdr:row>
      <xdr:rowOff>0</xdr:rowOff>
    </xdr:to>
    <xdr:sp>
      <xdr:nvSpPr>
        <xdr:cNvPr id="326" name="Line 690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372</xdr:row>
      <xdr:rowOff>0</xdr:rowOff>
    </xdr:from>
    <xdr:to>
      <xdr:col>2</xdr:col>
      <xdr:colOff>914400</xdr:colOff>
      <xdr:row>372</xdr:row>
      <xdr:rowOff>0</xdr:rowOff>
    </xdr:to>
    <xdr:sp>
      <xdr:nvSpPr>
        <xdr:cNvPr id="327" name="Line 691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372</xdr:row>
      <xdr:rowOff>0</xdr:rowOff>
    </xdr:from>
    <xdr:to>
      <xdr:col>3</xdr:col>
      <xdr:colOff>895350</xdr:colOff>
      <xdr:row>372</xdr:row>
      <xdr:rowOff>0</xdr:rowOff>
    </xdr:to>
    <xdr:sp>
      <xdr:nvSpPr>
        <xdr:cNvPr id="328" name="Line 692"/>
        <xdr:cNvSpPr>
          <a:spLocks/>
        </xdr:cNvSpPr>
      </xdr:nvSpPr>
      <xdr:spPr>
        <a:xfrm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372</xdr:row>
      <xdr:rowOff>0</xdr:rowOff>
    </xdr:from>
    <xdr:to>
      <xdr:col>2</xdr:col>
      <xdr:colOff>914400</xdr:colOff>
      <xdr:row>372</xdr:row>
      <xdr:rowOff>0</xdr:rowOff>
    </xdr:to>
    <xdr:sp>
      <xdr:nvSpPr>
        <xdr:cNvPr id="329" name="Line 693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372</xdr:row>
      <xdr:rowOff>0</xdr:rowOff>
    </xdr:from>
    <xdr:to>
      <xdr:col>3</xdr:col>
      <xdr:colOff>904875</xdr:colOff>
      <xdr:row>372</xdr:row>
      <xdr:rowOff>0</xdr:rowOff>
    </xdr:to>
    <xdr:sp>
      <xdr:nvSpPr>
        <xdr:cNvPr id="330" name="Line 694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372</xdr:row>
      <xdr:rowOff>0</xdr:rowOff>
    </xdr:from>
    <xdr:to>
      <xdr:col>4</xdr:col>
      <xdr:colOff>895350</xdr:colOff>
      <xdr:row>372</xdr:row>
      <xdr:rowOff>0</xdr:rowOff>
    </xdr:to>
    <xdr:sp>
      <xdr:nvSpPr>
        <xdr:cNvPr id="331" name="Line 695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372</xdr:row>
      <xdr:rowOff>0</xdr:rowOff>
    </xdr:from>
    <xdr:to>
      <xdr:col>4</xdr:col>
      <xdr:colOff>895350</xdr:colOff>
      <xdr:row>372</xdr:row>
      <xdr:rowOff>0</xdr:rowOff>
    </xdr:to>
    <xdr:sp>
      <xdr:nvSpPr>
        <xdr:cNvPr id="332" name="Line 696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372</xdr:row>
      <xdr:rowOff>0</xdr:rowOff>
    </xdr:from>
    <xdr:to>
      <xdr:col>2</xdr:col>
      <xdr:colOff>914400</xdr:colOff>
      <xdr:row>372</xdr:row>
      <xdr:rowOff>0</xdr:rowOff>
    </xdr:to>
    <xdr:sp>
      <xdr:nvSpPr>
        <xdr:cNvPr id="333" name="Line 697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372</xdr:row>
      <xdr:rowOff>0</xdr:rowOff>
    </xdr:from>
    <xdr:to>
      <xdr:col>3</xdr:col>
      <xdr:colOff>895350</xdr:colOff>
      <xdr:row>372</xdr:row>
      <xdr:rowOff>0</xdr:rowOff>
    </xdr:to>
    <xdr:sp>
      <xdr:nvSpPr>
        <xdr:cNvPr id="334" name="Line 698"/>
        <xdr:cNvSpPr>
          <a:spLocks/>
        </xdr:cNvSpPr>
      </xdr:nvSpPr>
      <xdr:spPr>
        <a:xfrm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372</xdr:row>
      <xdr:rowOff>0</xdr:rowOff>
    </xdr:from>
    <xdr:to>
      <xdr:col>2</xdr:col>
      <xdr:colOff>914400</xdr:colOff>
      <xdr:row>372</xdr:row>
      <xdr:rowOff>0</xdr:rowOff>
    </xdr:to>
    <xdr:sp>
      <xdr:nvSpPr>
        <xdr:cNvPr id="335" name="Line 699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372</xdr:row>
      <xdr:rowOff>0</xdr:rowOff>
    </xdr:from>
    <xdr:to>
      <xdr:col>3</xdr:col>
      <xdr:colOff>904875</xdr:colOff>
      <xdr:row>372</xdr:row>
      <xdr:rowOff>0</xdr:rowOff>
    </xdr:to>
    <xdr:sp>
      <xdr:nvSpPr>
        <xdr:cNvPr id="336" name="Line 700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372</xdr:row>
      <xdr:rowOff>0</xdr:rowOff>
    </xdr:from>
    <xdr:to>
      <xdr:col>4</xdr:col>
      <xdr:colOff>895350</xdr:colOff>
      <xdr:row>372</xdr:row>
      <xdr:rowOff>0</xdr:rowOff>
    </xdr:to>
    <xdr:sp>
      <xdr:nvSpPr>
        <xdr:cNvPr id="337" name="Line 701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372</xdr:row>
      <xdr:rowOff>0</xdr:rowOff>
    </xdr:from>
    <xdr:to>
      <xdr:col>4</xdr:col>
      <xdr:colOff>895350</xdr:colOff>
      <xdr:row>372</xdr:row>
      <xdr:rowOff>0</xdr:rowOff>
    </xdr:to>
    <xdr:sp>
      <xdr:nvSpPr>
        <xdr:cNvPr id="338" name="Line 702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372</xdr:row>
      <xdr:rowOff>0</xdr:rowOff>
    </xdr:from>
    <xdr:to>
      <xdr:col>2</xdr:col>
      <xdr:colOff>914400</xdr:colOff>
      <xdr:row>372</xdr:row>
      <xdr:rowOff>0</xdr:rowOff>
    </xdr:to>
    <xdr:sp>
      <xdr:nvSpPr>
        <xdr:cNvPr id="339" name="Line 703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372</xdr:row>
      <xdr:rowOff>0</xdr:rowOff>
    </xdr:from>
    <xdr:to>
      <xdr:col>3</xdr:col>
      <xdr:colOff>895350</xdr:colOff>
      <xdr:row>372</xdr:row>
      <xdr:rowOff>0</xdr:rowOff>
    </xdr:to>
    <xdr:sp>
      <xdr:nvSpPr>
        <xdr:cNvPr id="340" name="Line 704"/>
        <xdr:cNvSpPr>
          <a:spLocks/>
        </xdr:cNvSpPr>
      </xdr:nvSpPr>
      <xdr:spPr>
        <a:xfrm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372</xdr:row>
      <xdr:rowOff>0</xdr:rowOff>
    </xdr:from>
    <xdr:to>
      <xdr:col>2</xdr:col>
      <xdr:colOff>914400</xdr:colOff>
      <xdr:row>372</xdr:row>
      <xdr:rowOff>0</xdr:rowOff>
    </xdr:to>
    <xdr:sp>
      <xdr:nvSpPr>
        <xdr:cNvPr id="341" name="Line 705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372</xdr:row>
      <xdr:rowOff>0</xdr:rowOff>
    </xdr:from>
    <xdr:to>
      <xdr:col>3</xdr:col>
      <xdr:colOff>904875</xdr:colOff>
      <xdr:row>372</xdr:row>
      <xdr:rowOff>0</xdr:rowOff>
    </xdr:to>
    <xdr:sp>
      <xdr:nvSpPr>
        <xdr:cNvPr id="342" name="Line 706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372</xdr:row>
      <xdr:rowOff>0</xdr:rowOff>
    </xdr:from>
    <xdr:to>
      <xdr:col>4</xdr:col>
      <xdr:colOff>895350</xdr:colOff>
      <xdr:row>372</xdr:row>
      <xdr:rowOff>0</xdr:rowOff>
    </xdr:to>
    <xdr:sp>
      <xdr:nvSpPr>
        <xdr:cNvPr id="343" name="Line 707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372</xdr:row>
      <xdr:rowOff>0</xdr:rowOff>
    </xdr:from>
    <xdr:to>
      <xdr:col>4</xdr:col>
      <xdr:colOff>895350</xdr:colOff>
      <xdr:row>372</xdr:row>
      <xdr:rowOff>0</xdr:rowOff>
    </xdr:to>
    <xdr:sp>
      <xdr:nvSpPr>
        <xdr:cNvPr id="344" name="Line 708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372</xdr:row>
      <xdr:rowOff>0</xdr:rowOff>
    </xdr:from>
    <xdr:to>
      <xdr:col>2</xdr:col>
      <xdr:colOff>914400</xdr:colOff>
      <xdr:row>372</xdr:row>
      <xdr:rowOff>0</xdr:rowOff>
    </xdr:to>
    <xdr:sp>
      <xdr:nvSpPr>
        <xdr:cNvPr id="345" name="Line 709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372</xdr:row>
      <xdr:rowOff>0</xdr:rowOff>
    </xdr:from>
    <xdr:to>
      <xdr:col>3</xdr:col>
      <xdr:colOff>895350</xdr:colOff>
      <xdr:row>372</xdr:row>
      <xdr:rowOff>0</xdr:rowOff>
    </xdr:to>
    <xdr:sp>
      <xdr:nvSpPr>
        <xdr:cNvPr id="346" name="Line 710"/>
        <xdr:cNvSpPr>
          <a:spLocks/>
        </xdr:cNvSpPr>
      </xdr:nvSpPr>
      <xdr:spPr>
        <a:xfrm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372</xdr:row>
      <xdr:rowOff>0</xdr:rowOff>
    </xdr:from>
    <xdr:to>
      <xdr:col>2</xdr:col>
      <xdr:colOff>914400</xdr:colOff>
      <xdr:row>372</xdr:row>
      <xdr:rowOff>0</xdr:rowOff>
    </xdr:to>
    <xdr:sp>
      <xdr:nvSpPr>
        <xdr:cNvPr id="347" name="Line 711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372</xdr:row>
      <xdr:rowOff>0</xdr:rowOff>
    </xdr:from>
    <xdr:to>
      <xdr:col>3</xdr:col>
      <xdr:colOff>904875</xdr:colOff>
      <xdr:row>372</xdr:row>
      <xdr:rowOff>0</xdr:rowOff>
    </xdr:to>
    <xdr:sp>
      <xdr:nvSpPr>
        <xdr:cNvPr id="348" name="Line 712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372</xdr:row>
      <xdr:rowOff>0</xdr:rowOff>
    </xdr:from>
    <xdr:to>
      <xdr:col>4</xdr:col>
      <xdr:colOff>895350</xdr:colOff>
      <xdr:row>372</xdr:row>
      <xdr:rowOff>0</xdr:rowOff>
    </xdr:to>
    <xdr:sp>
      <xdr:nvSpPr>
        <xdr:cNvPr id="349" name="Line 713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866775</xdr:colOff>
      <xdr:row>82</xdr:row>
      <xdr:rowOff>19050</xdr:rowOff>
    </xdr:from>
    <xdr:to>
      <xdr:col>4</xdr:col>
      <xdr:colOff>866775</xdr:colOff>
      <xdr:row>110</xdr:row>
      <xdr:rowOff>9525</xdr:rowOff>
    </xdr:to>
    <xdr:sp>
      <xdr:nvSpPr>
        <xdr:cNvPr id="350" name="Line 714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885825</xdr:colOff>
      <xdr:row>81</xdr:row>
      <xdr:rowOff>266700</xdr:rowOff>
    </xdr:from>
    <xdr:to>
      <xdr:col>2</xdr:col>
      <xdr:colOff>885825</xdr:colOff>
      <xdr:row>109</xdr:row>
      <xdr:rowOff>247650</xdr:rowOff>
    </xdr:to>
    <xdr:sp>
      <xdr:nvSpPr>
        <xdr:cNvPr id="351" name="Line 715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82</xdr:row>
      <xdr:rowOff>0</xdr:rowOff>
    </xdr:from>
    <xdr:to>
      <xdr:col>3</xdr:col>
      <xdr:colOff>866775</xdr:colOff>
      <xdr:row>110</xdr:row>
      <xdr:rowOff>0</xdr:rowOff>
    </xdr:to>
    <xdr:sp>
      <xdr:nvSpPr>
        <xdr:cNvPr id="352" name="Line 716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885825</xdr:colOff>
      <xdr:row>115</xdr:row>
      <xdr:rowOff>9525</xdr:rowOff>
    </xdr:from>
    <xdr:to>
      <xdr:col>2</xdr:col>
      <xdr:colOff>885825</xdr:colOff>
      <xdr:row>145</xdr:row>
      <xdr:rowOff>257175</xdr:rowOff>
    </xdr:to>
    <xdr:sp>
      <xdr:nvSpPr>
        <xdr:cNvPr id="353" name="Line 717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115</xdr:row>
      <xdr:rowOff>9525</xdr:rowOff>
    </xdr:from>
    <xdr:to>
      <xdr:col>3</xdr:col>
      <xdr:colOff>866775</xdr:colOff>
      <xdr:row>145</xdr:row>
      <xdr:rowOff>257175</xdr:rowOff>
    </xdr:to>
    <xdr:sp>
      <xdr:nvSpPr>
        <xdr:cNvPr id="354" name="Line 718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866775</xdr:colOff>
      <xdr:row>115</xdr:row>
      <xdr:rowOff>9525</xdr:rowOff>
    </xdr:from>
    <xdr:to>
      <xdr:col>4</xdr:col>
      <xdr:colOff>866775</xdr:colOff>
      <xdr:row>145</xdr:row>
      <xdr:rowOff>257175</xdr:rowOff>
    </xdr:to>
    <xdr:sp>
      <xdr:nvSpPr>
        <xdr:cNvPr id="355" name="Line 719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885825</xdr:colOff>
      <xdr:row>188</xdr:row>
      <xdr:rowOff>9525</xdr:rowOff>
    </xdr:from>
    <xdr:to>
      <xdr:col>2</xdr:col>
      <xdr:colOff>885825</xdr:colOff>
      <xdr:row>218</xdr:row>
      <xdr:rowOff>257175</xdr:rowOff>
    </xdr:to>
    <xdr:sp>
      <xdr:nvSpPr>
        <xdr:cNvPr id="356" name="Line 720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188</xdr:row>
      <xdr:rowOff>9525</xdr:rowOff>
    </xdr:from>
    <xdr:to>
      <xdr:col>3</xdr:col>
      <xdr:colOff>866775</xdr:colOff>
      <xdr:row>218</xdr:row>
      <xdr:rowOff>257175</xdr:rowOff>
    </xdr:to>
    <xdr:sp>
      <xdr:nvSpPr>
        <xdr:cNvPr id="357" name="Line 721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866775</xdr:colOff>
      <xdr:row>188</xdr:row>
      <xdr:rowOff>9525</xdr:rowOff>
    </xdr:from>
    <xdr:to>
      <xdr:col>4</xdr:col>
      <xdr:colOff>866775</xdr:colOff>
      <xdr:row>218</xdr:row>
      <xdr:rowOff>257175</xdr:rowOff>
    </xdr:to>
    <xdr:sp>
      <xdr:nvSpPr>
        <xdr:cNvPr id="358" name="Line 722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228</xdr:row>
      <xdr:rowOff>238125</xdr:rowOff>
    </xdr:from>
    <xdr:to>
      <xdr:col>4</xdr:col>
      <xdr:colOff>876300</xdr:colOff>
      <xdr:row>256</xdr:row>
      <xdr:rowOff>247650</xdr:rowOff>
    </xdr:to>
    <xdr:sp>
      <xdr:nvSpPr>
        <xdr:cNvPr id="359" name="Line 72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885825</xdr:colOff>
      <xdr:row>229</xdr:row>
      <xdr:rowOff>9525</xdr:rowOff>
    </xdr:from>
    <xdr:to>
      <xdr:col>2</xdr:col>
      <xdr:colOff>885825</xdr:colOff>
      <xdr:row>256</xdr:row>
      <xdr:rowOff>247650</xdr:rowOff>
    </xdr:to>
    <xdr:sp>
      <xdr:nvSpPr>
        <xdr:cNvPr id="360" name="Line 724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228</xdr:row>
      <xdr:rowOff>238125</xdr:rowOff>
    </xdr:from>
    <xdr:to>
      <xdr:col>3</xdr:col>
      <xdr:colOff>866775</xdr:colOff>
      <xdr:row>256</xdr:row>
      <xdr:rowOff>247650</xdr:rowOff>
    </xdr:to>
    <xdr:sp>
      <xdr:nvSpPr>
        <xdr:cNvPr id="361" name="Line 725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885825</xdr:colOff>
      <xdr:row>261</xdr:row>
      <xdr:rowOff>0</xdr:rowOff>
    </xdr:from>
    <xdr:to>
      <xdr:col>2</xdr:col>
      <xdr:colOff>885825</xdr:colOff>
      <xdr:row>290</xdr:row>
      <xdr:rowOff>257175</xdr:rowOff>
    </xdr:to>
    <xdr:sp>
      <xdr:nvSpPr>
        <xdr:cNvPr id="362" name="Line 726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261</xdr:row>
      <xdr:rowOff>0</xdr:rowOff>
    </xdr:from>
    <xdr:to>
      <xdr:col>3</xdr:col>
      <xdr:colOff>866775</xdr:colOff>
      <xdr:row>290</xdr:row>
      <xdr:rowOff>257175</xdr:rowOff>
    </xdr:to>
    <xdr:sp>
      <xdr:nvSpPr>
        <xdr:cNvPr id="363" name="Line 727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866775</xdr:colOff>
      <xdr:row>261</xdr:row>
      <xdr:rowOff>9525</xdr:rowOff>
    </xdr:from>
    <xdr:to>
      <xdr:col>4</xdr:col>
      <xdr:colOff>866775</xdr:colOff>
      <xdr:row>290</xdr:row>
      <xdr:rowOff>257175</xdr:rowOff>
    </xdr:to>
    <xdr:sp>
      <xdr:nvSpPr>
        <xdr:cNvPr id="364" name="Line 728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302</xdr:row>
      <xdr:rowOff>238125</xdr:rowOff>
    </xdr:from>
    <xdr:to>
      <xdr:col>4</xdr:col>
      <xdr:colOff>876300</xdr:colOff>
      <xdr:row>330</xdr:row>
      <xdr:rowOff>247650</xdr:rowOff>
    </xdr:to>
    <xdr:sp>
      <xdr:nvSpPr>
        <xdr:cNvPr id="365" name="Line 729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895350</xdr:colOff>
      <xdr:row>303</xdr:row>
      <xdr:rowOff>0</xdr:rowOff>
    </xdr:from>
    <xdr:to>
      <xdr:col>2</xdr:col>
      <xdr:colOff>895350</xdr:colOff>
      <xdr:row>330</xdr:row>
      <xdr:rowOff>247650</xdr:rowOff>
    </xdr:to>
    <xdr:sp>
      <xdr:nvSpPr>
        <xdr:cNvPr id="366" name="Line 730"/>
        <xdr:cNvSpPr>
          <a:spLocks/>
        </xdr:cNvSpPr>
      </xdr:nvSpPr>
      <xdr:spPr>
        <a:xfrm flipH="1"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302</xdr:row>
      <xdr:rowOff>238125</xdr:rowOff>
    </xdr:from>
    <xdr:to>
      <xdr:col>3</xdr:col>
      <xdr:colOff>866775</xdr:colOff>
      <xdr:row>330</xdr:row>
      <xdr:rowOff>247650</xdr:rowOff>
    </xdr:to>
    <xdr:sp>
      <xdr:nvSpPr>
        <xdr:cNvPr id="367" name="Line 731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895350</xdr:colOff>
      <xdr:row>335</xdr:row>
      <xdr:rowOff>0</xdr:rowOff>
    </xdr:from>
    <xdr:to>
      <xdr:col>2</xdr:col>
      <xdr:colOff>895350</xdr:colOff>
      <xdr:row>364</xdr:row>
      <xdr:rowOff>257175</xdr:rowOff>
    </xdr:to>
    <xdr:sp>
      <xdr:nvSpPr>
        <xdr:cNvPr id="368" name="Line 732"/>
        <xdr:cNvSpPr>
          <a:spLocks/>
        </xdr:cNvSpPr>
      </xdr:nvSpPr>
      <xdr:spPr>
        <a:xfrm flipH="1"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335</xdr:row>
      <xdr:rowOff>0</xdr:rowOff>
    </xdr:from>
    <xdr:to>
      <xdr:col>3</xdr:col>
      <xdr:colOff>866775</xdr:colOff>
      <xdr:row>364</xdr:row>
      <xdr:rowOff>257175</xdr:rowOff>
    </xdr:to>
    <xdr:sp>
      <xdr:nvSpPr>
        <xdr:cNvPr id="369" name="Line 733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866775</xdr:colOff>
      <xdr:row>335</xdr:row>
      <xdr:rowOff>9525</xdr:rowOff>
    </xdr:from>
    <xdr:to>
      <xdr:col>4</xdr:col>
      <xdr:colOff>866775</xdr:colOff>
      <xdr:row>364</xdr:row>
      <xdr:rowOff>257175</xdr:rowOff>
    </xdr:to>
    <xdr:sp>
      <xdr:nvSpPr>
        <xdr:cNvPr id="370" name="Line 734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376</xdr:row>
      <xdr:rowOff>238125</xdr:rowOff>
    </xdr:from>
    <xdr:to>
      <xdr:col>4</xdr:col>
      <xdr:colOff>876300</xdr:colOff>
      <xdr:row>404</xdr:row>
      <xdr:rowOff>247650</xdr:rowOff>
    </xdr:to>
    <xdr:sp>
      <xdr:nvSpPr>
        <xdr:cNvPr id="371" name="Line 735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895350</xdr:colOff>
      <xdr:row>376</xdr:row>
      <xdr:rowOff>238125</xdr:rowOff>
    </xdr:from>
    <xdr:to>
      <xdr:col>2</xdr:col>
      <xdr:colOff>895350</xdr:colOff>
      <xdr:row>404</xdr:row>
      <xdr:rowOff>238125</xdr:rowOff>
    </xdr:to>
    <xdr:sp>
      <xdr:nvSpPr>
        <xdr:cNvPr id="372" name="Line 736"/>
        <xdr:cNvSpPr>
          <a:spLocks/>
        </xdr:cNvSpPr>
      </xdr:nvSpPr>
      <xdr:spPr>
        <a:xfrm flipH="1"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376</xdr:row>
      <xdr:rowOff>238125</xdr:rowOff>
    </xdr:from>
    <xdr:to>
      <xdr:col>3</xdr:col>
      <xdr:colOff>866775</xdr:colOff>
      <xdr:row>404</xdr:row>
      <xdr:rowOff>247650</xdr:rowOff>
    </xdr:to>
    <xdr:sp>
      <xdr:nvSpPr>
        <xdr:cNvPr id="373" name="Line 737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895350</xdr:colOff>
      <xdr:row>409</xdr:row>
      <xdr:rowOff>0</xdr:rowOff>
    </xdr:from>
    <xdr:to>
      <xdr:col>2</xdr:col>
      <xdr:colOff>895350</xdr:colOff>
      <xdr:row>439</xdr:row>
      <xdr:rowOff>257175</xdr:rowOff>
    </xdr:to>
    <xdr:sp>
      <xdr:nvSpPr>
        <xdr:cNvPr id="374" name="Line 738"/>
        <xdr:cNvSpPr>
          <a:spLocks/>
        </xdr:cNvSpPr>
      </xdr:nvSpPr>
      <xdr:spPr>
        <a:xfrm flipH="1"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409</xdr:row>
      <xdr:rowOff>0</xdr:rowOff>
    </xdr:from>
    <xdr:to>
      <xdr:col>3</xdr:col>
      <xdr:colOff>866775</xdr:colOff>
      <xdr:row>439</xdr:row>
      <xdr:rowOff>257175</xdr:rowOff>
    </xdr:to>
    <xdr:sp>
      <xdr:nvSpPr>
        <xdr:cNvPr id="375" name="Line 739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866775</xdr:colOff>
      <xdr:row>409</xdr:row>
      <xdr:rowOff>9525</xdr:rowOff>
    </xdr:from>
    <xdr:to>
      <xdr:col>4</xdr:col>
      <xdr:colOff>866775</xdr:colOff>
      <xdr:row>439</xdr:row>
      <xdr:rowOff>257175</xdr:rowOff>
    </xdr:to>
    <xdr:sp>
      <xdr:nvSpPr>
        <xdr:cNvPr id="376" name="Line 740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445</xdr:row>
      <xdr:rowOff>0</xdr:rowOff>
    </xdr:from>
    <xdr:to>
      <xdr:col>4</xdr:col>
      <xdr:colOff>895350</xdr:colOff>
      <xdr:row>445</xdr:row>
      <xdr:rowOff>0</xdr:rowOff>
    </xdr:to>
    <xdr:sp>
      <xdr:nvSpPr>
        <xdr:cNvPr id="377" name="Line 741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445</xdr:row>
      <xdr:rowOff>0</xdr:rowOff>
    </xdr:from>
    <xdr:to>
      <xdr:col>2</xdr:col>
      <xdr:colOff>914400</xdr:colOff>
      <xdr:row>445</xdr:row>
      <xdr:rowOff>0</xdr:rowOff>
    </xdr:to>
    <xdr:sp>
      <xdr:nvSpPr>
        <xdr:cNvPr id="378" name="Line 742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885825</xdr:colOff>
      <xdr:row>445</xdr:row>
      <xdr:rowOff>0</xdr:rowOff>
    </xdr:from>
    <xdr:to>
      <xdr:col>3</xdr:col>
      <xdr:colOff>885825</xdr:colOff>
      <xdr:row>445</xdr:row>
      <xdr:rowOff>0</xdr:rowOff>
    </xdr:to>
    <xdr:sp>
      <xdr:nvSpPr>
        <xdr:cNvPr id="379" name="Line 743"/>
        <xdr:cNvSpPr>
          <a:spLocks/>
        </xdr:cNvSpPr>
      </xdr:nvSpPr>
      <xdr:spPr>
        <a:xfrm>
          <a:off x="624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445</xdr:row>
      <xdr:rowOff>0</xdr:rowOff>
    </xdr:from>
    <xdr:to>
      <xdr:col>2</xdr:col>
      <xdr:colOff>914400</xdr:colOff>
      <xdr:row>445</xdr:row>
      <xdr:rowOff>0</xdr:rowOff>
    </xdr:to>
    <xdr:sp>
      <xdr:nvSpPr>
        <xdr:cNvPr id="380" name="Line 744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445</xdr:row>
      <xdr:rowOff>0</xdr:rowOff>
    </xdr:from>
    <xdr:to>
      <xdr:col>3</xdr:col>
      <xdr:colOff>904875</xdr:colOff>
      <xdr:row>445</xdr:row>
      <xdr:rowOff>0</xdr:rowOff>
    </xdr:to>
    <xdr:sp>
      <xdr:nvSpPr>
        <xdr:cNvPr id="381" name="Line 745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445</xdr:row>
      <xdr:rowOff>0</xdr:rowOff>
    </xdr:from>
    <xdr:to>
      <xdr:col>4</xdr:col>
      <xdr:colOff>895350</xdr:colOff>
      <xdr:row>445</xdr:row>
      <xdr:rowOff>0</xdr:rowOff>
    </xdr:to>
    <xdr:sp>
      <xdr:nvSpPr>
        <xdr:cNvPr id="382" name="Line 746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445</xdr:row>
      <xdr:rowOff>0</xdr:rowOff>
    </xdr:from>
    <xdr:to>
      <xdr:col>4</xdr:col>
      <xdr:colOff>895350</xdr:colOff>
      <xdr:row>445</xdr:row>
      <xdr:rowOff>0</xdr:rowOff>
    </xdr:to>
    <xdr:sp>
      <xdr:nvSpPr>
        <xdr:cNvPr id="383" name="Line 747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445</xdr:row>
      <xdr:rowOff>0</xdr:rowOff>
    </xdr:from>
    <xdr:to>
      <xdr:col>2</xdr:col>
      <xdr:colOff>914400</xdr:colOff>
      <xdr:row>445</xdr:row>
      <xdr:rowOff>0</xdr:rowOff>
    </xdr:to>
    <xdr:sp>
      <xdr:nvSpPr>
        <xdr:cNvPr id="384" name="Line 748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445</xdr:row>
      <xdr:rowOff>0</xdr:rowOff>
    </xdr:from>
    <xdr:to>
      <xdr:col>3</xdr:col>
      <xdr:colOff>895350</xdr:colOff>
      <xdr:row>445</xdr:row>
      <xdr:rowOff>0</xdr:rowOff>
    </xdr:to>
    <xdr:sp>
      <xdr:nvSpPr>
        <xdr:cNvPr id="385" name="Line 749"/>
        <xdr:cNvSpPr>
          <a:spLocks/>
        </xdr:cNvSpPr>
      </xdr:nvSpPr>
      <xdr:spPr>
        <a:xfrm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445</xdr:row>
      <xdr:rowOff>0</xdr:rowOff>
    </xdr:from>
    <xdr:to>
      <xdr:col>2</xdr:col>
      <xdr:colOff>914400</xdr:colOff>
      <xdr:row>445</xdr:row>
      <xdr:rowOff>0</xdr:rowOff>
    </xdr:to>
    <xdr:sp>
      <xdr:nvSpPr>
        <xdr:cNvPr id="386" name="Line 750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445</xdr:row>
      <xdr:rowOff>0</xdr:rowOff>
    </xdr:from>
    <xdr:to>
      <xdr:col>3</xdr:col>
      <xdr:colOff>904875</xdr:colOff>
      <xdr:row>445</xdr:row>
      <xdr:rowOff>0</xdr:rowOff>
    </xdr:to>
    <xdr:sp>
      <xdr:nvSpPr>
        <xdr:cNvPr id="387" name="Line 751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445</xdr:row>
      <xdr:rowOff>0</xdr:rowOff>
    </xdr:from>
    <xdr:to>
      <xdr:col>4</xdr:col>
      <xdr:colOff>895350</xdr:colOff>
      <xdr:row>445</xdr:row>
      <xdr:rowOff>0</xdr:rowOff>
    </xdr:to>
    <xdr:sp>
      <xdr:nvSpPr>
        <xdr:cNvPr id="388" name="Line 752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445</xdr:row>
      <xdr:rowOff>0</xdr:rowOff>
    </xdr:from>
    <xdr:to>
      <xdr:col>4</xdr:col>
      <xdr:colOff>895350</xdr:colOff>
      <xdr:row>445</xdr:row>
      <xdr:rowOff>0</xdr:rowOff>
    </xdr:to>
    <xdr:sp>
      <xdr:nvSpPr>
        <xdr:cNvPr id="389" name="Line 753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445</xdr:row>
      <xdr:rowOff>0</xdr:rowOff>
    </xdr:from>
    <xdr:to>
      <xdr:col>2</xdr:col>
      <xdr:colOff>914400</xdr:colOff>
      <xdr:row>445</xdr:row>
      <xdr:rowOff>0</xdr:rowOff>
    </xdr:to>
    <xdr:sp>
      <xdr:nvSpPr>
        <xdr:cNvPr id="390" name="Line 754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445</xdr:row>
      <xdr:rowOff>0</xdr:rowOff>
    </xdr:from>
    <xdr:to>
      <xdr:col>3</xdr:col>
      <xdr:colOff>895350</xdr:colOff>
      <xdr:row>445</xdr:row>
      <xdr:rowOff>0</xdr:rowOff>
    </xdr:to>
    <xdr:sp>
      <xdr:nvSpPr>
        <xdr:cNvPr id="391" name="Line 755"/>
        <xdr:cNvSpPr>
          <a:spLocks/>
        </xdr:cNvSpPr>
      </xdr:nvSpPr>
      <xdr:spPr>
        <a:xfrm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445</xdr:row>
      <xdr:rowOff>0</xdr:rowOff>
    </xdr:from>
    <xdr:to>
      <xdr:col>2</xdr:col>
      <xdr:colOff>914400</xdr:colOff>
      <xdr:row>445</xdr:row>
      <xdr:rowOff>0</xdr:rowOff>
    </xdr:to>
    <xdr:sp>
      <xdr:nvSpPr>
        <xdr:cNvPr id="392" name="Line 756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445</xdr:row>
      <xdr:rowOff>0</xdr:rowOff>
    </xdr:from>
    <xdr:to>
      <xdr:col>3</xdr:col>
      <xdr:colOff>904875</xdr:colOff>
      <xdr:row>445</xdr:row>
      <xdr:rowOff>0</xdr:rowOff>
    </xdr:to>
    <xdr:sp>
      <xdr:nvSpPr>
        <xdr:cNvPr id="393" name="Line 757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445</xdr:row>
      <xdr:rowOff>0</xdr:rowOff>
    </xdr:from>
    <xdr:to>
      <xdr:col>4</xdr:col>
      <xdr:colOff>895350</xdr:colOff>
      <xdr:row>445</xdr:row>
      <xdr:rowOff>0</xdr:rowOff>
    </xdr:to>
    <xdr:sp>
      <xdr:nvSpPr>
        <xdr:cNvPr id="394" name="Line 758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445</xdr:row>
      <xdr:rowOff>0</xdr:rowOff>
    </xdr:from>
    <xdr:to>
      <xdr:col>4</xdr:col>
      <xdr:colOff>895350</xdr:colOff>
      <xdr:row>445</xdr:row>
      <xdr:rowOff>0</xdr:rowOff>
    </xdr:to>
    <xdr:sp>
      <xdr:nvSpPr>
        <xdr:cNvPr id="395" name="Line 759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445</xdr:row>
      <xdr:rowOff>0</xdr:rowOff>
    </xdr:from>
    <xdr:to>
      <xdr:col>2</xdr:col>
      <xdr:colOff>914400</xdr:colOff>
      <xdr:row>445</xdr:row>
      <xdr:rowOff>0</xdr:rowOff>
    </xdr:to>
    <xdr:sp>
      <xdr:nvSpPr>
        <xdr:cNvPr id="396" name="Line 760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445</xdr:row>
      <xdr:rowOff>0</xdr:rowOff>
    </xdr:from>
    <xdr:to>
      <xdr:col>3</xdr:col>
      <xdr:colOff>895350</xdr:colOff>
      <xdr:row>445</xdr:row>
      <xdr:rowOff>0</xdr:rowOff>
    </xdr:to>
    <xdr:sp>
      <xdr:nvSpPr>
        <xdr:cNvPr id="397" name="Line 761"/>
        <xdr:cNvSpPr>
          <a:spLocks/>
        </xdr:cNvSpPr>
      </xdr:nvSpPr>
      <xdr:spPr>
        <a:xfrm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445</xdr:row>
      <xdr:rowOff>0</xdr:rowOff>
    </xdr:from>
    <xdr:to>
      <xdr:col>2</xdr:col>
      <xdr:colOff>914400</xdr:colOff>
      <xdr:row>445</xdr:row>
      <xdr:rowOff>0</xdr:rowOff>
    </xdr:to>
    <xdr:sp>
      <xdr:nvSpPr>
        <xdr:cNvPr id="398" name="Line 762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445</xdr:row>
      <xdr:rowOff>0</xdr:rowOff>
    </xdr:from>
    <xdr:to>
      <xdr:col>3</xdr:col>
      <xdr:colOff>904875</xdr:colOff>
      <xdr:row>445</xdr:row>
      <xdr:rowOff>0</xdr:rowOff>
    </xdr:to>
    <xdr:sp>
      <xdr:nvSpPr>
        <xdr:cNvPr id="399" name="Line 763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445</xdr:row>
      <xdr:rowOff>0</xdr:rowOff>
    </xdr:from>
    <xdr:to>
      <xdr:col>4</xdr:col>
      <xdr:colOff>895350</xdr:colOff>
      <xdr:row>445</xdr:row>
      <xdr:rowOff>0</xdr:rowOff>
    </xdr:to>
    <xdr:sp>
      <xdr:nvSpPr>
        <xdr:cNvPr id="400" name="Line 764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445</xdr:row>
      <xdr:rowOff>0</xdr:rowOff>
    </xdr:from>
    <xdr:to>
      <xdr:col>4</xdr:col>
      <xdr:colOff>895350</xdr:colOff>
      <xdr:row>445</xdr:row>
      <xdr:rowOff>0</xdr:rowOff>
    </xdr:to>
    <xdr:sp>
      <xdr:nvSpPr>
        <xdr:cNvPr id="401" name="Line 765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445</xdr:row>
      <xdr:rowOff>0</xdr:rowOff>
    </xdr:from>
    <xdr:to>
      <xdr:col>2</xdr:col>
      <xdr:colOff>914400</xdr:colOff>
      <xdr:row>445</xdr:row>
      <xdr:rowOff>0</xdr:rowOff>
    </xdr:to>
    <xdr:sp>
      <xdr:nvSpPr>
        <xdr:cNvPr id="402" name="Line 766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445</xdr:row>
      <xdr:rowOff>0</xdr:rowOff>
    </xdr:from>
    <xdr:to>
      <xdr:col>3</xdr:col>
      <xdr:colOff>895350</xdr:colOff>
      <xdr:row>445</xdr:row>
      <xdr:rowOff>0</xdr:rowOff>
    </xdr:to>
    <xdr:sp>
      <xdr:nvSpPr>
        <xdr:cNvPr id="403" name="Line 767"/>
        <xdr:cNvSpPr>
          <a:spLocks/>
        </xdr:cNvSpPr>
      </xdr:nvSpPr>
      <xdr:spPr>
        <a:xfrm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445</xdr:row>
      <xdr:rowOff>0</xdr:rowOff>
    </xdr:from>
    <xdr:to>
      <xdr:col>2</xdr:col>
      <xdr:colOff>914400</xdr:colOff>
      <xdr:row>445</xdr:row>
      <xdr:rowOff>0</xdr:rowOff>
    </xdr:to>
    <xdr:sp>
      <xdr:nvSpPr>
        <xdr:cNvPr id="404" name="Line 768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445</xdr:row>
      <xdr:rowOff>0</xdr:rowOff>
    </xdr:from>
    <xdr:to>
      <xdr:col>3</xdr:col>
      <xdr:colOff>904875</xdr:colOff>
      <xdr:row>445</xdr:row>
      <xdr:rowOff>0</xdr:rowOff>
    </xdr:to>
    <xdr:sp>
      <xdr:nvSpPr>
        <xdr:cNvPr id="405" name="Line 769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445</xdr:row>
      <xdr:rowOff>0</xdr:rowOff>
    </xdr:from>
    <xdr:to>
      <xdr:col>4</xdr:col>
      <xdr:colOff>895350</xdr:colOff>
      <xdr:row>445</xdr:row>
      <xdr:rowOff>0</xdr:rowOff>
    </xdr:to>
    <xdr:sp>
      <xdr:nvSpPr>
        <xdr:cNvPr id="406" name="Line 770"/>
        <xdr:cNvSpPr>
          <a:spLocks/>
        </xdr:cNvSpPr>
      </xdr:nvSpPr>
      <xdr:spPr>
        <a:xfrm flipH="1"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449</xdr:row>
      <xdr:rowOff>238125</xdr:rowOff>
    </xdr:from>
    <xdr:to>
      <xdr:col>4</xdr:col>
      <xdr:colOff>876300</xdr:colOff>
      <xdr:row>477</xdr:row>
      <xdr:rowOff>247650</xdr:rowOff>
    </xdr:to>
    <xdr:sp>
      <xdr:nvSpPr>
        <xdr:cNvPr id="407" name="Line 771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885825</xdr:colOff>
      <xdr:row>450</xdr:row>
      <xdr:rowOff>9525</xdr:rowOff>
    </xdr:from>
    <xdr:to>
      <xdr:col>2</xdr:col>
      <xdr:colOff>885825</xdr:colOff>
      <xdr:row>478</xdr:row>
      <xdr:rowOff>9525</xdr:rowOff>
    </xdr:to>
    <xdr:sp>
      <xdr:nvSpPr>
        <xdr:cNvPr id="408" name="Line 772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866775</xdr:colOff>
      <xdr:row>449</xdr:row>
      <xdr:rowOff>238125</xdr:rowOff>
    </xdr:from>
    <xdr:to>
      <xdr:col>3</xdr:col>
      <xdr:colOff>866775</xdr:colOff>
      <xdr:row>477</xdr:row>
      <xdr:rowOff>247650</xdr:rowOff>
    </xdr:to>
    <xdr:sp>
      <xdr:nvSpPr>
        <xdr:cNvPr id="409" name="Line 773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483</xdr:row>
      <xdr:rowOff>9525</xdr:rowOff>
    </xdr:from>
    <xdr:to>
      <xdr:col>2</xdr:col>
      <xdr:colOff>914400</xdr:colOff>
      <xdr:row>517</xdr:row>
      <xdr:rowOff>9525</xdr:rowOff>
    </xdr:to>
    <xdr:sp>
      <xdr:nvSpPr>
        <xdr:cNvPr id="410" name="Line 774"/>
        <xdr:cNvSpPr>
          <a:spLocks/>
        </xdr:cNvSpPr>
      </xdr:nvSpPr>
      <xdr:spPr>
        <a:xfrm flipH="1"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885825</xdr:colOff>
      <xdr:row>482</xdr:row>
      <xdr:rowOff>238125</xdr:rowOff>
    </xdr:from>
    <xdr:to>
      <xdr:col>3</xdr:col>
      <xdr:colOff>885825</xdr:colOff>
      <xdr:row>516</xdr:row>
      <xdr:rowOff>257175</xdr:rowOff>
    </xdr:to>
    <xdr:sp>
      <xdr:nvSpPr>
        <xdr:cNvPr id="411" name="Line 775"/>
        <xdr:cNvSpPr>
          <a:spLocks/>
        </xdr:cNvSpPr>
      </xdr:nvSpPr>
      <xdr:spPr>
        <a:xfrm>
          <a:off x="624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483</xdr:row>
      <xdr:rowOff>9525</xdr:rowOff>
    </xdr:from>
    <xdr:to>
      <xdr:col>4</xdr:col>
      <xdr:colOff>895350</xdr:colOff>
      <xdr:row>517</xdr:row>
      <xdr:rowOff>0</xdr:rowOff>
    </xdr:to>
    <xdr:sp>
      <xdr:nvSpPr>
        <xdr:cNvPr id="412" name="Line 776"/>
        <xdr:cNvSpPr>
          <a:spLocks/>
        </xdr:cNvSpPr>
      </xdr:nvSpPr>
      <xdr:spPr>
        <a:xfrm>
          <a:off x="73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522</xdr:row>
      <xdr:rowOff>0</xdr:rowOff>
    </xdr:from>
    <xdr:to>
      <xdr:col>4</xdr:col>
      <xdr:colOff>895350</xdr:colOff>
      <xdr:row>522</xdr:row>
      <xdr:rowOff>0</xdr:rowOff>
    </xdr:to>
    <xdr:sp>
      <xdr:nvSpPr>
        <xdr:cNvPr id="413" name="Line 777"/>
        <xdr:cNvSpPr>
          <a:spLocks/>
        </xdr:cNvSpPr>
      </xdr:nvSpPr>
      <xdr:spPr>
        <a:xfrm flipH="1">
          <a:off x="73437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522</xdr:row>
      <xdr:rowOff>0</xdr:rowOff>
    </xdr:from>
    <xdr:to>
      <xdr:col>2</xdr:col>
      <xdr:colOff>914400</xdr:colOff>
      <xdr:row>522</xdr:row>
      <xdr:rowOff>0</xdr:rowOff>
    </xdr:to>
    <xdr:sp>
      <xdr:nvSpPr>
        <xdr:cNvPr id="414" name="Line 778"/>
        <xdr:cNvSpPr>
          <a:spLocks/>
        </xdr:cNvSpPr>
      </xdr:nvSpPr>
      <xdr:spPr>
        <a:xfrm flipH="1">
          <a:off x="51720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885825</xdr:colOff>
      <xdr:row>522</xdr:row>
      <xdr:rowOff>0</xdr:rowOff>
    </xdr:from>
    <xdr:to>
      <xdr:col>3</xdr:col>
      <xdr:colOff>885825</xdr:colOff>
      <xdr:row>522</xdr:row>
      <xdr:rowOff>0</xdr:rowOff>
    </xdr:to>
    <xdr:sp>
      <xdr:nvSpPr>
        <xdr:cNvPr id="415" name="Line 779"/>
        <xdr:cNvSpPr>
          <a:spLocks/>
        </xdr:cNvSpPr>
      </xdr:nvSpPr>
      <xdr:spPr>
        <a:xfrm>
          <a:off x="624840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522</xdr:row>
      <xdr:rowOff>0</xdr:rowOff>
    </xdr:from>
    <xdr:to>
      <xdr:col>2</xdr:col>
      <xdr:colOff>914400</xdr:colOff>
      <xdr:row>522</xdr:row>
      <xdr:rowOff>0</xdr:rowOff>
    </xdr:to>
    <xdr:sp>
      <xdr:nvSpPr>
        <xdr:cNvPr id="416" name="Line 780"/>
        <xdr:cNvSpPr>
          <a:spLocks/>
        </xdr:cNvSpPr>
      </xdr:nvSpPr>
      <xdr:spPr>
        <a:xfrm flipH="1">
          <a:off x="51720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522</xdr:row>
      <xdr:rowOff>0</xdr:rowOff>
    </xdr:from>
    <xdr:to>
      <xdr:col>3</xdr:col>
      <xdr:colOff>904875</xdr:colOff>
      <xdr:row>522</xdr:row>
      <xdr:rowOff>0</xdr:rowOff>
    </xdr:to>
    <xdr:sp>
      <xdr:nvSpPr>
        <xdr:cNvPr id="417" name="Line 781"/>
        <xdr:cNvSpPr>
          <a:spLocks/>
        </xdr:cNvSpPr>
      </xdr:nvSpPr>
      <xdr:spPr>
        <a:xfrm>
          <a:off x="626745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522</xdr:row>
      <xdr:rowOff>0</xdr:rowOff>
    </xdr:from>
    <xdr:to>
      <xdr:col>4</xdr:col>
      <xdr:colOff>895350</xdr:colOff>
      <xdr:row>522</xdr:row>
      <xdr:rowOff>0</xdr:rowOff>
    </xdr:to>
    <xdr:sp>
      <xdr:nvSpPr>
        <xdr:cNvPr id="418" name="Line 782"/>
        <xdr:cNvSpPr>
          <a:spLocks/>
        </xdr:cNvSpPr>
      </xdr:nvSpPr>
      <xdr:spPr>
        <a:xfrm flipH="1">
          <a:off x="73437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522</xdr:row>
      <xdr:rowOff>0</xdr:rowOff>
    </xdr:from>
    <xdr:to>
      <xdr:col>4</xdr:col>
      <xdr:colOff>895350</xdr:colOff>
      <xdr:row>522</xdr:row>
      <xdr:rowOff>0</xdr:rowOff>
    </xdr:to>
    <xdr:sp>
      <xdr:nvSpPr>
        <xdr:cNvPr id="419" name="Line 783"/>
        <xdr:cNvSpPr>
          <a:spLocks/>
        </xdr:cNvSpPr>
      </xdr:nvSpPr>
      <xdr:spPr>
        <a:xfrm flipH="1">
          <a:off x="73437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522</xdr:row>
      <xdr:rowOff>0</xdr:rowOff>
    </xdr:from>
    <xdr:to>
      <xdr:col>2</xdr:col>
      <xdr:colOff>914400</xdr:colOff>
      <xdr:row>522</xdr:row>
      <xdr:rowOff>0</xdr:rowOff>
    </xdr:to>
    <xdr:sp>
      <xdr:nvSpPr>
        <xdr:cNvPr id="420" name="Line 784"/>
        <xdr:cNvSpPr>
          <a:spLocks/>
        </xdr:cNvSpPr>
      </xdr:nvSpPr>
      <xdr:spPr>
        <a:xfrm flipH="1">
          <a:off x="51720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522</xdr:row>
      <xdr:rowOff>0</xdr:rowOff>
    </xdr:from>
    <xdr:to>
      <xdr:col>3</xdr:col>
      <xdr:colOff>895350</xdr:colOff>
      <xdr:row>522</xdr:row>
      <xdr:rowOff>0</xdr:rowOff>
    </xdr:to>
    <xdr:sp>
      <xdr:nvSpPr>
        <xdr:cNvPr id="421" name="Line 785"/>
        <xdr:cNvSpPr>
          <a:spLocks/>
        </xdr:cNvSpPr>
      </xdr:nvSpPr>
      <xdr:spPr>
        <a:xfrm>
          <a:off x="62579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522</xdr:row>
      <xdr:rowOff>0</xdr:rowOff>
    </xdr:from>
    <xdr:to>
      <xdr:col>2</xdr:col>
      <xdr:colOff>914400</xdr:colOff>
      <xdr:row>522</xdr:row>
      <xdr:rowOff>0</xdr:rowOff>
    </xdr:to>
    <xdr:sp>
      <xdr:nvSpPr>
        <xdr:cNvPr id="422" name="Line 786"/>
        <xdr:cNvSpPr>
          <a:spLocks/>
        </xdr:cNvSpPr>
      </xdr:nvSpPr>
      <xdr:spPr>
        <a:xfrm flipH="1">
          <a:off x="51720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522</xdr:row>
      <xdr:rowOff>0</xdr:rowOff>
    </xdr:from>
    <xdr:to>
      <xdr:col>3</xdr:col>
      <xdr:colOff>904875</xdr:colOff>
      <xdr:row>522</xdr:row>
      <xdr:rowOff>0</xdr:rowOff>
    </xdr:to>
    <xdr:sp>
      <xdr:nvSpPr>
        <xdr:cNvPr id="423" name="Line 787"/>
        <xdr:cNvSpPr>
          <a:spLocks/>
        </xdr:cNvSpPr>
      </xdr:nvSpPr>
      <xdr:spPr>
        <a:xfrm>
          <a:off x="626745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522</xdr:row>
      <xdr:rowOff>0</xdr:rowOff>
    </xdr:from>
    <xdr:to>
      <xdr:col>4</xdr:col>
      <xdr:colOff>895350</xdr:colOff>
      <xdr:row>522</xdr:row>
      <xdr:rowOff>0</xdr:rowOff>
    </xdr:to>
    <xdr:sp>
      <xdr:nvSpPr>
        <xdr:cNvPr id="424" name="Line 788"/>
        <xdr:cNvSpPr>
          <a:spLocks/>
        </xdr:cNvSpPr>
      </xdr:nvSpPr>
      <xdr:spPr>
        <a:xfrm flipH="1">
          <a:off x="73437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522</xdr:row>
      <xdr:rowOff>0</xdr:rowOff>
    </xdr:from>
    <xdr:to>
      <xdr:col>4</xdr:col>
      <xdr:colOff>895350</xdr:colOff>
      <xdr:row>522</xdr:row>
      <xdr:rowOff>0</xdr:rowOff>
    </xdr:to>
    <xdr:sp>
      <xdr:nvSpPr>
        <xdr:cNvPr id="425" name="Line 789"/>
        <xdr:cNvSpPr>
          <a:spLocks/>
        </xdr:cNvSpPr>
      </xdr:nvSpPr>
      <xdr:spPr>
        <a:xfrm flipH="1">
          <a:off x="73437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522</xdr:row>
      <xdr:rowOff>0</xdr:rowOff>
    </xdr:from>
    <xdr:to>
      <xdr:col>2</xdr:col>
      <xdr:colOff>914400</xdr:colOff>
      <xdr:row>522</xdr:row>
      <xdr:rowOff>0</xdr:rowOff>
    </xdr:to>
    <xdr:sp>
      <xdr:nvSpPr>
        <xdr:cNvPr id="426" name="Line 790"/>
        <xdr:cNvSpPr>
          <a:spLocks/>
        </xdr:cNvSpPr>
      </xdr:nvSpPr>
      <xdr:spPr>
        <a:xfrm flipH="1">
          <a:off x="51720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522</xdr:row>
      <xdr:rowOff>0</xdr:rowOff>
    </xdr:from>
    <xdr:to>
      <xdr:col>3</xdr:col>
      <xdr:colOff>895350</xdr:colOff>
      <xdr:row>522</xdr:row>
      <xdr:rowOff>0</xdr:rowOff>
    </xdr:to>
    <xdr:sp>
      <xdr:nvSpPr>
        <xdr:cNvPr id="427" name="Line 791"/>
        <xdr:cNvSpPr>
          <a:spLocks/>
        </xdr:cNvSpPr>
      </xdr:nvSpPr>
      <xdr:spPr>
        <a:xfrm>
          <a:off x="62579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522</xdr:row>
      <xdr:rowOff>0</xdr:rowOff>
    </xdr:from>
    <xdr:to>
      <xdr:col>2</xdr:col>
      <xdr:colOff>914400</xdr:colOff>
      <xdr:row>522</xdr:row>
      <xdr:rowOff>0</xdr:rowOff>
    </xdr:to>
    <xdr:sp>
      <xdr:nvSpPr>
        <xdr:cNvPr id="428" name="Line 792"/>
        <xdr:cNvSpPr>
          <a:spLocks/>
        </xdr:cNvSpPr>
      </xdr:nvSpPr>
      <xdr:spPr>
        <a:xfrm flipH="1">
          <a:off x="51720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522</xdr:row>
      <xdr:rowOff>0</xdr:rowOff>
    </xdr:from>
    <xdr:to>
      <xdr:col>3</xdr:col>
      <xdr:colOff>904875</xdr:colOff>
      <xdr:row>522</xdr:row>
      <xdr:rowOff>0</xdr:rowOff>
    </xdr:to>
    <xdr:sp>
      <xdr:nvSpPr>
        <xdr:cNvPr id="429" name="Line 793"/>
        <xdr:cNvSpPr>
          <a:spLocks/>
        </xdr:cNvSpPr>
      </xdr:nvSpPr>
      <xdr:spPr>
        <a:xfrm>
          <a:off x="626745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522</xdr:row>
      <xdr:rowOff>0</xdr:rowOff>
    </xdr:from>
    <xdr:to>
      <xdr:col>4</xdr:col>
      <xdr:colOff>895350</xdr:colOff>
      <xdr:row>522</xdr:row>
      <xdr:rowOff>0</xdr:rowOff>
    </xdr:to>
    <xdr:sp>
      <xdr:nvSpPr>
        <xdr:cNvPr id="430" name="Line 794"/>
        <xdr:cNvSpPr>
          <a:spLocks/>
        </xdr:cNvSpPr>
      </xdr:nvSpPr>
      <xdr:spPr>
        <a:xfrm flipH="1">
          <a:off x="73437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522</xdr:row>
      <xdr:rowOff>0</xdr:rowOff>
    </xdr:from>
    <xdr:to>
      <xdr:col>4</xdr:col>
      <xdr:colOff>895350</xdr:colOff>
      <xdr:row>522</xdr:row>
      <xdr:rowOff>0</xdr:rowOff>
    </xdr:to>
    <xdr:sp>
      <xdr:nvSpPr>
        <xdr:cNvPr id="431" name="Line 795"/>
        <xdr:cNvSpPr>
          <a:spLocks/>
        </xdr:cNvSpPr>
      </xdr:nvSpPr>
      <xdr:spPr>
        <a:xfrm flipH="1">
          <a:off x="73437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522</xdr:row>
      <xdr:rowOff>0</xdr:rowOff>
    </xdr:from>
    <xdr:to>
      <xdr:col>2</xdr:col>
      <xdr:colOff>914400</xdr:colOff>
      <xdr:row>522</xdr:row>
      <xdr:rowOff>0</xdr:rowOff>
    </xdr:to>
    <xdr:sp>
      <xdr:nvSpPr>
        <xdr:cNvPr id="432" name="Line 796"/>
        <xdr:cNvSpPr>
          <a:spLocks/>
        </xdr:cNvSpPr>
      </xdr:nvSpPr>
      <xdr:spPr>
        <a:xfrm flipH="1">
          <a:off x="51720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522</xdr:row>
      <xdr:rowOff>0</xdr:rowOff>
    </xdr:from>
    <xdr:to>
      <xdr:col>3</xdr:col>
      <xdr:colOff>895350</xdr:colOff>
      <xdr:row>522</xdr:row>
      <xdr:rowOff>0</xdr:rowOff>
    </xdr:to>
    <xdr:sp>
      <xdr:nvSpPr>
        <xdr:cNvPr id="433" name="Line 797"/>
        <xdr:cNvSpPr>
          <a:spLocks/>
        </xdr:cNvSpPr>
      </xdr:nvSpPr>
      <xdr:spPr>
        <a:xfrm>
          <a:off x="62579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522</xdr:row>
      <xdr:rowOff>0</xdr:rowOff>
    </xdr:from>
    <xdr:to>
      <xdr:col>2</xdr:col>
      <xdr:colOff>914400</xdr:colOff>
      <xdr:row>522</xdr:row>
      <xdr:rowOff>0</xdr:rowOff>
    </xdr:to>
    <xdr:sp>
      <xdr:nvSpPr>
        <xdr:cNvPr id="434" name="Line 798"/>
        <xdr:cNvSpPr>
          <a:spLocks/>
        </xdr:cNvSpPr>
      </xdr:nvSpPr>
      <xdr:spPr>
        <a:xfrm flipH="1">
          <a:off x="51720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522</xdr:row>
      <xdr:rowOff>0</xdr:rowOff>
    </xdr:from>
    <xdr:to>
      <xdr:col>3</xdr:col>
      <xdr:colOff>904875</xdr:colOff>
      <xdr:row>522</xdr:row>
      <xdr:rowOff>0</xdr:rowOff>
    </xdr:to>
    <xdr:sp>
      <xdr:nvSpPr>
        <xdr:cNvPr id="435" name="Line 799"/>
        <xdr:cNvSpPr>
          <a:spLocks/>
        </xdr:cNvSpPr>
      </xdr:nvSpPr>
      <xdr:spPr>
        <a:xfrm>
          <a:off x="626745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522</xdr:row>
      <xdr:rowOff>0</xdr:rowOff>
    </xdr:from>
    <xdr:to>
      <xdr:col>4</xdr:col>
      <xdr:colOff>895350</xdr:colOff>
      <xdr:row>522</xdr:row>
      <xdr:rowOff>0</xdr:rowOff>
    </xdr:to>
    <xdr:sp>
      <xdr:nvSpPr>
        <xdr:cNvPr id="436" name="Line 800"/>
        <xdr:cNvSpPr>
          <a:spLocks/>
        </xdr:cNvSpPr>
      </xdr:nvSpPr>
      <xdr:spPr>
        <a:xfrm flipH="1">
          <a:off x="73437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522</xdr:row>
      <xdr:rowOff>0</xdr:rowOff>
    </xdr:from>
    <xdr:to>
      <xdr:col>4</xdr:col>
      <xdr:colOff>895350</xdr:colOff>
      <xdr:row>522</xdr:row>
      <xdr:rowOff>0</xdr:rowOff>
    </xdr:to>
    <xdr:sp>
      <xdr:nvSpPr>
        <xdr:cNvPr id="437" name="Line 801"/>
        <xdr:cNvSpPr>
          <a:spLocks/>
        </xdr:cNvSpPr>
      </xdr:nvSpPr>
      <xdr:spPr>
        <a:xfrm flipH="1">
          <a:off x="73437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522</xdr:row>
      <xdr:rowOff>0</xdr:rowOff>
    </xdr:from>
    <xdr:to>
      <xdr:col>2</xdr:col>
      <xdr:colOff>914400</xdr:colOff>
      <xdr:row>522</xdr:row>
      <xdr:rowOff>0</xdr:rowOff>
    </xdr:to>
    <xdr:sp>
      <xdr:nvSpPr>
        <xdr:cNvPr id="438" name="Line 802"/>
        <xdr:cNvSpPr>
          <a:spLocks/>
        </xdr:cNvSpPr>
      </xdr:nvSpPr>
      <xdr:spPr>
        <a:xfrm flipH="1">
          <a:off x="51720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895350</xdr:colOff>
      <xdr:row>522</xdr:row>
      <xdr:rowOff>0</xdr:rowOff>
    </xdr:from>
    <xdr:to>
      <xdr:col>3</xdr:col>
      <xdr:colOff>895350</xdr:colOff>
      <xdr:row>522</xdr:row>
      <xdr:rowOff>0</xdr:rowOff>
    </xdr:to>
    <xdr:sp>
      <xdr:nvSpPr>
        <xdr:cNvPr id="439" name="Line 803"/>
        <xdr:cNvSpPr>
          <a:spLocks/>
        </xdr:cNvSpPr>
      </xdr:nvSpPr>
      <xdr:spPr>
        <a:xfrm>
          <a:off x="62579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522</xdr:row>
      <xdr:rowOff>0</xdr:rowOff>
    </xdr:from>
    <xdr:to>
      <xdr:col>2</xdr:col>
      <xdr:colOff>914400</xdr:colOff>
      <xdr:row>522</xdr:row>
      <xdr:rowOff>0</xdr:rowOff>
    </xdr:to>
    <xdr:sp>
      <xdr:nvSpPr>
        <xdr:cNvPr id="440" name="Line 804"/>
        <xdr:cNvSpPr>
          <a:spLocks/>
        </xdr:cNvSpPr>
      </xdr:nvSpPr>
      <xdr:spPr>
        <a:xfrm flipH="1">
          <a:off x="51720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904875</xdr:colOff>
      <xdr:row>522</xdr:row>
      <xdr:rowOff>0</xdr:rowOff>
    </xdr:from>
    <xdr:to>
      <xdr:col>3</xdr:col>
      <xdr:colOff>904875</xdr:colOff>
      <xdr:row>522</xdr:row>
      <xdr:rowOff>0</xdr:rowOff>
    </xdr:to>
    <xdr:sp>
      <xdr:nvSpPr>
        <xdr:cNvPr id="441" name="Line 805"/>
        <xdr:cNvSpPr>
          <a:spLocks/>
        </xdr:cNvSpPr>
      </xdr:nvSpPr>
      <xdr:spPr>
        <a:xfrm>
          <a:off x="626745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522</xdr:row>
      <xdr:rowOff>0</xdr:rowOff>
    </xdr:from>
    <xdr:to>
      <xdr:col>4</xdr:col>
      <xdr:colOff>895350</xdr:colOff>
      <xdr:row>522</xdr:row>
      <xdr:rowOff>0</xdr:rowOff>
    </xdr:to>
    <xdr:sp>
      <xdr:nvSpPr>
        <xdr:cNvPr id="442" name="Line 806"/>
        <xdr:cNvSpPr>
          <a:spLocks/>
        </xdr:cNvSpPr>
      </xdr:nvSpPr>
      <xdr:spPr>
        <a:xfrm flipH="1">
          <a:off x="73437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524</xdr:row>
      <xdr:rowOff>238125</xdr:rowOff>
    </xdr:from>
    <xdr:to>
      <xdr:col>4</xdr:col>
      <xdr:colOff>885825</xdr:colOff>
      <xdr:row>560</xdr:row>
      <xdr:rowOff>0</xdr:rowOff>
    </xdr:to>
    <xdr:sp>
      <xdr:nvSpPr>
        <xdr:cNvPr id="443" name="Line 807"/>
        <xdr:cNvSpPr>
          <a:spLocks/>
        </xdr:cNvSpPr>
      </xdr:nvSpPr>
      <xdr:spPr>
        <a:xfrm flipH="1">
          <a:off x="7324725" y="1190625"/>
          <a:ext cx="9525" cy="866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876300</xdr:colOff>
      <xdr:row>525</xdr:row>
      <xdr:rowOff>0</xdr:rowOff>
    </xdr:from>
    <xdr:to>
      <xdr:col>2</xdr:col>
      <xdr:colOff>895350</xdr:colOff>
      <xdr:row>560</xdr:row>
      <xdr:rowOff>0</xdr:rowOff>
    </xdr:to>
    <xdr:sp>
      <xdr:nvSpPr>
        <xdr:cNvPr id="444" name="Line 808"/>
        <xdr:cNvSpPr>
          <a:spLocks/>
        </xdr:cNvSpPr>
      </xdr:nvSpPr>
      <xdr:spPr>
        <a:xfrm>
          <a:off x="5133975" y="1190625"/>
          <a:ext cx="19050" cy="866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885825</xdr:colOff>
      <xdr:row>525</xdr:row>
      <xdr:rowOff>0</xdr:rowOff>
    </xdr:from>
    <xdr:to>
      <xdr:col>3</xdr:col>
      <xdr:colOff>885825</xdr:colOff>
      <xdr:row>559</xdr:row>
      <xdr:rowOff>247650</xdr:rowOff>
    </xdr:to>
    <xdr:sp>
      <xdr:nvSpPr>
        <xdr:cNvPr id="445" name="Line 809"/>
        <xdr:cNvSpPr>
          <a:spLocks/>
        </xdr:cNvSpPr>
      </xdr:nvSpPr>
      <xdr:spPr>
        <a:xfrm>
          <a:off x="6248400" y="1190625"/>
          <a:ext cx="0" cy="864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895350</xdr:colOff>
      <xdr:row>563</xdr:row>
      <xdr:rowOff>238125</xdr:rowOff>
    </xdr:from>
    <xdr:to>
      <xdr:col>2</xdr:col>
      <xdr:colOff>895350</xdr:colOff>
      <xdr:row>593</xdr:row>
      <xdr:rowOff>0</xdr:rowOff>
    </xdr:to>
    <xdr:sp>
      <xdr:nvSpPr>
        <xdr:cNvPr id="446" name="Line 810"/>
        <xdr:cNvSpPr>
          <a:spLocks/>
        </xdr:cNvSpPr>
      </xdr:nvSpPr>
      <xdr:spPr>
        <a:xfrm flipH="1">
          <a:off x="5153025" y="10877550"/>
          <a:ext cx="0" cy="772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76200</xdr:colOff>
      <xdr:row>520</xdr:row>
      <xdr:rowOff>19050</xdr:rowOff>
    </xdr:from>
    <xdr:to>
      <xdr:col>4</xdr:col>
      <xdr:colOff>981075</xdr:colOff>
      <xdr:row>521</xdr:row>
      <xdr:rowOff>38100</xdr:rowOff>
    </xdr:to>
    <xdr:sp>
      <xdr:nvSpPr>
        <xdr:cNvPr id="447" name="Text Box 811"/>
        <xdr:cNvSpPr txBox="1">
          <a:spLocks noChangeArrowheads="1"/>
        </xdr:cNvSpPr>
      </xdr:nvSpPr>
      <xdr:spPr>
        <a:xfrm>
          <a:off x="6524625" y="19050"/>
          <a:ext cx="904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หมายเหตุ 1</a:t>
          </a:r>
        </a:p>
      </xdr:txBody>
    </xdr:sp>
    <xdr:clientData/>
  </xdr:twoCellAnchor>
  <xdr:twoCellAnchor>
    <xdr:from>
      <xdr:col>2</xdr:col>
      <xdr:colOff>895350</xdr:colOff>
      <xdr:row>593</xdr:row>
      <xdr:rowOff>0</xdr:rowOff>
    </xdr:from>
    <xdr:to>
      <xdr:col>2</xdr:col>
      <xdr:colOff>895350</xdr:colOff>
      <xdr:row>593</xdr:row>
      <xdr:rowOff>257175</xdr:rowOff>
    </xdr:to>
    <xdr:sp>
      <xdr:nvSpPr>
        <xdr:cNvPr id="448" name="Line 812"/>
        <xdr:cNvSpPr>
          <a:spLocks/>
        </xdr:cNvSpPr>
      </xdr:nvSpPr>
      <xdr:spPr>
        <a:xfrm flipH="1">
          <a:off x="5153025" y="186023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885825</xdr:colOff>
      <xdr:row>564</xdr:row>
      <xdr:rowOff>0</xdr:rowOff>
    </xdr:from>
    <xdr:to>
      <xdr:col>3</xdr:col>
      <xdr:colOff>885825</xdr:colOff>
      <xdr:row>594</xdr:row>
      <xdr:rowOff>0</xdr:rowOff>
    </xdr:to>
    <xdr:sp>
      <xdr:nvSpPr>
        <xdr:cNvPr id="449" name="Line 813"/>
        <xdr:cNvSpPr>
          <a:spLocks/>
        </xdr:cNvSpPr>
      </xdr:nvSpPr>
      <xdr:spPr>
        <a:xfrm>
          <a:off x="6248400" y="10925175"/>
          <a:ext cx="0" cy="793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564</xdr:row>
      <xdr:rowOff>0</xdr:rowOff>
    </xdr:from>
    <xdr:to>
      <xdr:col>4</xdr:col>
      <xdr:colOff>885825</xdr:colOff>
      <xdr:row>594</xdr:row>
      <xdr:rowOff>0</xdr:rowOff>
    </xdr:to>
    <xdr:sp>
      <xdr:nvSpPr>
        <xdr:cNvPr id="450" name="Line 814"/>
        <xdr:cNvSpPr>
          <a:spLocks/>
        </xdr:cNvSpPr>
      </xdr:nvSpPr>
      <xdr:spPr>
        <a:xfrm>
          <a:off x="7334250" y="10925175"/>
          <a:ext cx="0" cy="793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895350</xdr:colOff>
      <xdr:row>595</xdr:row>
      <xdr:rowOff>0</xdr:rowOff>
    </xdr:from>
    <xdr:to>
      <xdr:col>2</xdr:col>
      <xdr:colOff>895350</xdr:colOff>
      <xdr:row>595</xdr:row>
      <xdr:rowOff>0</xdr:rowOff>
    </xdr:to>
    <xdr:sp>
      <xdr:nvSpPr>
        <xdr:cNvPr id="451" name="Line 815"/>
        <xdr:cNvSpPr>
          <a:spLocks/>
        </xdr:cNvSpPr>
      </xdr:nvSpPr>
      <xdr:spPr>
        <a:xfrm flipH="1">
          <a:off x="5153025" y="1910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5</xdr:row>
      <xdr:rowOff>0</xdr:rowOff>
    </xdr:from>
    <xdr:to>
      <xdr:col>2</xdr:col>
      <xdr:colOff>733425</xdr:colOff>
      <xdr:row>5</xdr:row>
      <xdr:rowOff>0</xdr:rowOff>
    </xdr:to>
    <xdr:sp>
      <xdr:nvSpPr>
        <xdr:cNvPr id="1" name="Line 19"/>
        <xdr:cNvSpPr>
          <a:spLocks/>
        </xdr:cNvSpPr>
      </xdr:nvSpPr>
      <xdr:spPr>
        <a:xfrm>
          <a:off x="46291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942975</xdr:colOff>
      <xdr:row>68</xdr:row>
      <xdr:rowOff>0</xdr:rowOff>
    </xdr:from>
    <xdr:to>
      <xdr:col>2</xdr:col>
      <xdr:colOff>733425</xdr:colOff>
      <xdr:row>68</xdr:row>
      <xdr:rowOff>0</xdr:rowOff>
    </xdr:to>
    <xdr:sp>
      <xdr:nvSpPr>
        <xdr:cNvPr id="2" name="Line 22"/>
        <xdr:cNvSpPr>
          <a:spLocks/>
        </xdr:cNvSpPr>
      </xdr:nvSpPr>
      <xdr:spPr>
        <a:xfrm>
          <a:off x="4629150" y="1934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733425</xdr:colOff>
      <xdr:row>67</xdr:row>
      <xdr:rowOff>285750</xdr:rowOff>
    </xdr:from>
    <xdr:to>
      <xdr:col>2</xdr:col>
      <xdr:colOff>733425</xdr:colOff>
      <xdr:row>72</xdr:row>
      <xdr:rowOff>285750</xdr:rowOff>
    </xdr:to>
    <xdr:sp>
      <xdr:nvSpPr>
        <xdr:cNvPr id="3" name="Line 23"/>
        <xdr:cNvSpPr>
          <a:spLocks/>
        </xdr:cNvSpPr>
      </xdr:nvSpPr>
      <xdr:spPr>
        <a:xfrm>
          <a:off x="4419600" y="1934527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942975</xdr:colOff>
      <xdr:row>67</xdr:row>
      <xdr:rowOff>285750</xdr:rowOff>
    </xdr:from>
    <xdr:to>
      <xdr:col>2</xdr:col>
      <xdr:colOff>942975</xdr:colOff>
      <xdr:row>73</xdr:row>
      <xdr:rowOff>0</xdr:rowOff>
    </xdr:to>
    <xdr:sp>
      <xdr:nvSpPr>
        <xdr:cNvPr id="4" name="Line 24"/>
        <xdr:cNvSpPr>
          <a:spLocks/>
        </xdr:cNvSpPr>
      </xdr:nvSpPr>
      <xdr:spPr>
        <a:xfrm>
          <a:off x="4629150" y="1934527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819150</xdr:colOff>
      <xdr:row>156</xdr:row>
      <xdr:rowOff>0</xdr:rowOff>
    </xdr:from>
    <xdr:to>
      <xdr:col>4</xdr:col>
      <xdr:colOff>819150</xdr:colOff>
      <xdr:row>163</xdr:row>
      <xdr:rowOff>0</xdr:rowOff>
    </xdr:to>
    <xdr:sp>
      <xdr:nvSpPr>
        <xdr:cNvPr id="5" name="Line 29"/>
        <xdr:cNvSpPr>
          <a:spLocks/>
        </xdr:cNvSpPr>
      </xdr:nvSpPr>
      <xdr:spPr>
        <a:xfrm>
          <a:off x="6229350" y="4284345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156</xdr:row>
      <xdr:rowOff>9525</xdr:rowOff>
    </xdr:from>
    <xdr:to>
      <xdr:col>6</xdr:col>
      <xdr:colOff>914400</xdr:colOff>
      <xdr:row>162</xdr:row>
      <xdr:rowOff>276225</xdr:rowOff>
    </xdr:to>
    <xdr:sp>
      <xdr:nvSpPr>
        <xdr:cNvPr id="6" name="Line 30"/>
        <xdr:cNvSpPr>
          <a:spLocks/>
        </xdr:cNvSpPr>
      </xdr:nvSpPr>
      <xdr:spPr>
        <a:xfrm>
          <a:off x="7981950" y="4285297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819150</xdr:colOff>
      <xdr:row>188</xdr:row>
      <xdr:rowOff>0</xdr:rowOff>
    </xdr:from>
    <xdr:to>
      <xdr:col>4</xdr:col>
      <xdr:colOff>819150</xdr:colOff>
      <xdr:row>195</xdr:row>
      <xdr:rowOff>0</xdr:rowOff>
    </xdr:to>
    <xdr:sp>
      <xdr:nvSpPr>
        <xdr:cNvPr id="7" name="Line 31"/>
        <xdr:cNvSpPr>
          <a:spLocks/>
        </xdr:cNvSpPr>
      </xdr:nvSpPr>
      <xdr:spPr>
        <a:xfrm>
          <a:off x="6229350" y="5192077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188</xdr:row>
      <xdr:rowOff>9525</xdr:rowOff>
    </xdr:from>
    <xdr:to>
      <xdr:col>6</xdr:col>
      <xdr:colOff>914400</xdr:colOff>
      <xdr:row>194</xdr:row>
      <xdr:rowOff>276225</xdr:rowOff>
    </xdr:to>
    <xdr:sp>
      <xdr:nvSpPr>
        <xdr:cNvPr id="8" name="Line 32"/>
        <xdr:cNvSpPr>
          <a:spLocks/>
        </xdr:cNvSpPr>
      </xdr:nvSpPr>
      <xdr:spPr>
        <a:xfrm>
          <a:off x="7981950" y="519303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819150</xdr:colOff>
      <xdr:row>219</xdr:row>
      <xdr:rowOff>0</xdr:rowOff>
    </xdr:from>
    <xdr:to>
      <xdr:col>4</xdr:col>
      <xdr:colOff>819150</xdr:colOff>
      <xdr:row>226</xdr:row>
      <xdr:rowOff>0</xdr:rowOff>
    </xdr:to>
    <xdr:sp>
      <xdr:nvSpPr>
        <xdr:cNvPr id="9" name="Line 33"/>
        <xdr:cNvSpPr>
          <a:spLocks/>
        </xdr:cNvSpPr>
      </xdr:nvSpPr>
      <xdr:spPr>
        <a:xfrm>
          <a:off x="6229350" y="6072187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219</xdr:row>
      <xdr:rowOff>9525</xdr:rowOff>
    </xdr:from>
    <xdr:to>
      <xdr:col>6</xdr:col>
      <xdr:colOff>914400</xdr:colOff>
      <xdr:row>225</xdr:row>
      <xdr:rowOff>276225</xdr:rowOff>
    </xdr:to>
    <xdr:sp>
      <xdr:nvSpPr>
        <xdr:cNvPr id="10" name="Line 34"/>
        <xdr:cNvSpPr>
          <a:spLocks/>
        </xdr:cNvSpPr>
      </xdr:nvSpPr>
      <xdr:spPr>
        <a:xfrm>
          <a:off x="7981950" y="607314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819150</xdr:colOff>
      <xdr:row>250</xdr:row>
      <xdr:rowOff>9525</xdr:rowOff>
    </xdr:from>
    <xdr:to>
      <xdr:col>4</xdr:col>
      <xdr:colOff>819150</xdr:colOff>
      <xdr:row>257</xdr:row>
      <xdr:rowOff>9525</xdr:rowOff>
    </xdr:to>
    <xdr:sp>
      <xdr:nvSpPr>
        <xdr:cNvPr id="11" name="Line 35"/>
        <xdr:cNvSpPr>
          <a:spLocks/>
        </xdr:cNvSpPr>
      </xdr:nvSpPr>
      <xdr:spPr>
        <a:xfrm>
          <a:off x="6229350" y="695325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250</xdr:row>
      <xdr:rowOff>0</xdr:rowOff>
    </xdr:from>
    <xdr:to>
      <xdr:col>6</xdr:col>
      <xdr:colOff>914400</xdr:colOff>
      <xdr:row>257</xdr:row>
      <xdr:rowOff>0</xdr:rowOff>
    </xdr:to>
    <xdr:sp>
      <xdr:nvSpPr>
        <xdr:cNvPr id="12" name="Line 36"/>
        <xdr:cNvSpPr>
          <a:spLocks/>
        </xdr:cNvSpPr>
      </xdr:nvSpPr>
      <xdr:spPr>
        <a:xfrm>
          <a:off x="7981950" y="6952297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819150</xdr:colOff>
      <xdr:row>285</xdr:row>
      <xdr:rowOff>9525</xdr:rowOff>
    </xdr:from>
    <xdr:to>
      <xdr:col>4</xdr:col>
      <xdr:colOff>819150</xdr:colOff>
      <xdr:row>292</xdr:row>
      <xdr:rowOff>9525</xdr:rowOff>
    </xdr:to>
    <xdr:sp>
      <xdr:nvSpPr>
        <xdr:cNvPr id="13" name="Line 37"/>
        <xdr:cNvSpPr>
          <a:spLocks/>
        </xdr:cNvSpPr>
      </xdr:nvSpPr>
      <xdr:spPr>
        <a:xfrm>
          <a:off x="6229350" y="7945755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285</xdr:row>
      <xdr:rowOff>0</xdr:rowOff>
    </xdr:from>
    <xdr:to>
      <xdr:col>6</xdr:col>
      <xdr:colOff>914400</xdr:colOff>
      <xdr:row>292</xdr:row>
      <xdr:rowOff>0</xdr:rowOff>
    </xdr:to>
    <xdr:sp>
      <xdr:nvSpPr>
        <xdr:cNvPr id="14" name="Line 38"/>
        <xdr:cNvSpPr>
          <a:spLocks/>
        </xdr:cNvSpPr>
      </xdr:nvSpPr>
      <xdr:spPr>
        <a:xfrm>
          <a:off x="7981950" y="7944802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819150</xdr:colOff>
      <xdr:row>317</xdr:row>
      <xdr:rowOff>9525</xdr:rowOff>
    </xdr:from>
    <xdr:to>
      <xdr:col>4</xdr:col>
      <xdr:colOff>819150</xdr:colOff>
      <xdr:row>324</xdr:row>
      <xdr:rowOff>9525</xdr:rowOff>
    </xdr:to>
    <xdr:sp>
      <xdr:nvSpPr>
        <xdr:cNvPr id="15" name="Line 39"/>
        <xdr:cNvSpPr>
          <a:spLocks/>
        </xdr:cNvSpPr>
      </xdr:nvSpPr>
      <xdr:spPr>
        <a:xfrm>
          <a:off x="6229350" y="8855392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317</xdr:row>
      <xdr:rowOff>0</xdr:rowOff>
    </xdr:from>
    <xdr:to>
      <xdr:col>6</xdr:col>
      <xdr:colOff>914400</xdr:colOff>
      <xdr:row>324</xdr:row>
      <xdr:rowOff>0</xdr:rowOff>
    </xdr:to>
    <xdr:sp>
      <xdr:nvSpPr>
        <xdr:cNvPr id="16" name="Line 40"/>
        <xdr:cNvSpPr>
          <a:spLocks/>
        </xdr:cNvSpPr>
      </xdr:nvSpPr>
      <xdr:spPr>
        <a:xfrm>
          <a:off x="7981950" y="885444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628650</xdr:colOff>
      <xdr:row>7</xdr:row>
      <xdr:rowOff>0</xdr:rowOff>
    </xdr:from>
    <xdr:to>
      <xdr:col>4</xdr:col>
      <xdr:colOff>628650</xdr:colOff>
      <xdr:row>12</xdr:row>
      <xdr:rowOff>285750</xdr:rowOff>
    </xdr:to>
    <xdr:sp>
      <xdr:nvSpPr>
        <xdr:cNvPr id="17" name="Line 8"/>
        <xdr:cNvSpPr>
          <a:spLocks/>
        </xdr:cNvSpPr>
      </xdr:nvSpPr>
      <xdr:spPr>
        <a:xfrm>
          <a:off x="6038850" y="2076450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819150</xdr:colOff>
      <xdr:row>151</xdr:row>
      <xdr:rowOff>0</xdr:rowOff>
    </xdr:from>
    <xdr:to>
      <xdr:col>4</xdr:col>
      <xdr:colOff>819150</xdr:colOff>
      <xdr:row>158</xdr:row>
      <xdr:rowOff>0</xdr:rowOff>
    </xdr:to>
    <xdr:sp>
      <xdr:nvSpPr>
        <xdr:cNvPr id="18" name="Line 14"/>
        <xdr:cNvSpPr>
          <a:spLocks/>
        </xdr:cNvSpPr>
      </xdr:nvSpPr>
      <xdr:spPr>
        <a:xfrm>
          <a:off x="6229350" y="4141470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151</xdr:row>
      <xdr:rowOff>9525</xdr:rowOff>
    </xdr:from>
    <xdr:to>
      <xdr:col>6</xdr:col>
      <xdr:colOff>914400</xdr:colOff>
      <xdr:row>157</xdr:row>
      <xdr:rowOff>266700</xdr:rowOff>
    </xdr:to>
    <xdr:sp>
      <xdr:nvSpPr>
        <xdr:cNvPr id="19" name="Line 15"/>
        <xdr:cNvSpPr>
          <a:spLocks/>
        </xdr:cNvSpPr>
      </xdr:nvSpPr>
      <xdr:spPr>
        <a:xfrm>
          <a:off x="7981950" y="41424225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819150</xdr:colOff>
      <xdr:row>183</xdr:row>
      <xdr:rowOff>0</xdr:rowOff>
    </xdr:from>
    <xdr:to>
      <xdr:col>4</xdr:col>
      <xdr:colOff>819150</xdr:colOff>
      <xdr:row>190</xdr:row>
      <xdr:rowOff>0</xdr:rowOff>
    </xdr:to>
    <xdr:sp>
      <xdr:nvSpPr>
        <xdr:cNvPr id="20" name="Line 16"/>
        <xdr:cNvSpPr>
          <a:spLocks/>
        </xdr:cNvSpPr>
      </xdr:nvSpPr>
      <xdr:spPr>
        <a:xfrm>
          <a:off x="6229350" y="50472975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183</xdr:row>
      <xdr:rowOff>9525</xdr:rowOff>
    </xdr:from>
    <xdr:to>
      <xdr:col>6</xdr:col>
      <xdr:colOff>914400</xdr:colOff>
      <xdr:row>189</xdr:row>
      <xdr:rowOff>266700</xdr:rowOff>
    </xdr:to>
    <xdr:sp>
      <xdr:nvSpPr>
        <xdr:cNvPr id="21" name="Line 17"/>
        <xdr:cNvSpPr>
          <a:spLocks/>
        </xdr:cNvSpPr>
      </xdr:nvSpPr>
      <xdr:spPr>
        <a:xfrm>
          <a:off x="7981950" y="50482500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819150</xdr:colOff>
      <xdr:row>214</xdr:row>
      <xdr:rowOff>0</xdr:rowOff>
    </xdr:from>
    <xdr:to>
      <xdr:col>4</xdr:col>
      <xdr:colOff>819150</xdr:colOff>
      <xdr:row>221</xdr:row>
      <xdr:rowOff>0</xdr:rowOff>
    </xdr:to>
    <xdr:sp>
      <xdr:nvSpPr>
        <xdr:cNvPr id="22" name="Line 18"/>
        <xdr:cNvSpPr>
          <a:spLocks/>
        </xdr:cNvSpPr>
      </xdr:nvSpPr>
      <xdr:spPr>
        <a:xfrm>
          <a:off x="6229350" y="59255025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214</xdr:row>
      <xdr:rowOff>9525</xdr:rowOff>
    </xdr:from>
    <xdr:to>
      <xdr:col>6</xdr:col>
      <xdr:colOff>914400</xdr:colOff>
      <xdr:row>220</xdr:row>
      <xdr:rowOff>266700</xdr:rowOff>
    </xdr:to>
    <xdr:sp>
      <xdr:nvSpPr>
        <xdr:cNvPr id="23" name="Line 19"/>
        <xdr:cNvSpPr>
          <a:spLocks/>
        </xdr:cNvSpPr>
      </xdr:nvSpPr>
      <xdr:spPr>
        <a:xfrm>
          <a:off x="7981950" y="59264550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819150</xdr:colOff>
      <xdr:row>245</xdr:row>
      <xdr:rowOff>9525</xdr:rowOff>
    </xdr:from>
    <xdr:to>
      <xdr:col>4</xdr:col>
      <xdr:colOff>819150</xdr:colOff>
      <xdr:row>252</xdr:row>
      <xdr:rowOff>9525</xdr:rowOff>
    </xdr:to>
    <xdr:sp>
      <xdr:nvSpPr>
        <xdr:cNvPr id="24" name="Line 20"/>
        <xdr:cNvSpPr>
          <a:spLocks/>
        </xdr:cNvSpPr>
      </xdr:nvSpPr>
      <xdr:spPr>
        <a:xfrm>
          <a:off x="6229350" y="6804660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245</xdr:row>
      <xdr:rowOff>0</xdr:rowOff>
    </xdr:from>
    <xdr:to>
      <xdr:col>6</xdr:col>
      <xdr:colOff>914400</xdr:colOff>
      <xdr:row>252</xdr:row>
      <xdr:rowOff>0</xdr:rowOff>
    </xdr:to>
    <xdr:sp>
      <xdr:nvSpPr>
        <xdr:cNvPr id="25" name="Line 21"/>
        <xdr:cNvSpPr>
          <a:spLocks/>
        </xdr:cNvSpPr>
      </xdr:nvSpPr>
      <xdr:spPr>
        <a:xfrm>
          <a:off x="7981950" y="68037075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819150</xdr:colOff>
      <xdr:row>280</xdr:row>
      <xdr:rowOff>9525</xdr:rowOff>
    </xdr:from>
    <xdr:to>
      <xdr:col>4</xdr:col>
      <xdr:colOff>819150</xdr:colOff>
      <xdr:row>287</xdr:row>
      <xdr:rowOff>9525</xdr:rowOff>
    </xdr:to>
    <xdr:sp>
      <xdr:nvSpPr>
        <xdr:cNvPr id="26" name="Line 22"/>
        <xdr:cNvSpPr>
          <a:spLocks/>
        </xdr:cNvSpPr>
      </xdr:nvSpPr>
      <xdr:spPr>
        <a:xfrm>
          <a:off x="6229350" y="7795260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280</xdr:row>
      <xdr:rowOff>0</xdr:rowOff>
    </xdr:from>
    <xdr:to>
      <xdr:col>6</xdr:col>
      <xdr:colOff>914400</xdr:colOff>
      <xdr:row>287</xdr:row>
      <xdr:rowOff>0</xdr:rowOff>
    </xdr:to>
    <xdr:sp>
      <xdr:nvSpPr>
        <xdr:cNvPr id="27" name="Line 23"/>
        <xdr:cNvSpPr>
          <a:spLocks/>
        </xdr:cNvSpPr>
      </xdr:nvSpPr>
      <xdr:spPr>
        <a:xfrm>
          <a:off x="7981950" y="77943075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819150</xdr:colOff>
      <xdr:row>312</xdr:row>
      <xdr:rowOff>9525</xdr:rowOff>
    </xdr:from>
    <xdr:to>
      <xdr:col>4</xdr:col>
      <xdr:colOff>819150</xdr:colOff>
      <xdr:row>319</xdr:row>
      <xdr:rowOff>9525</xdr:rowOff>
    </xdr:to>
    <xdr:sp>
      <xdr:nvSpPr>
        <xdr:cNvPr id="28" name="Line 24"/>
        <xdr:cNvSpPr>
          <a:spLocks/>
        </xdr:cNvSpPr>
      </xdr:nvSpPr>
      <xdr:spPr>
        <a:xfrm>
          <a:off x="6229350" y="87029925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312</xdr:row>
      <xdr:rowOff>0</xdr:rowOff>
    </xdr:from>
    <xdr:to>
      <xdr:col>6</xdr:col>
      <xdr:colOff>914400</xdr:colOff>
      <xdr:row>319</xdr:row>
      <xdr:rowOff>0</xdr:rowOff>
    </xdr:to>
    <xdr:sp>
      <xdr:nvSpPr>
        <xdr:cNvPr id="29" name="Line 25"/>
        <xdr:cNvSpPr>
          <a:spLocks/>
        </xdr:cNvSpPr>
      </xdr:nvSpPr>
      <xdr:spPr>
        <a:xfrm>
          <a:off x="7981950" y="8702040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0</xdr:rowOff>
    </xdr:from>
    <xdr:to>
      <xdr:col>4</xdr:col>
      <xdr:colOff>819150</xdr:colOff>
      <xdr:row>0</xdr:row>
      <xdr:rowOff>0</xdr:rowOff>
    </xdr:to>
    <xdr:sp>
      <xdr:nvSpPr>
        <xdr:cNvPr id="30" name="Line 3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0</xdr:row>
      <xdr:rowOff>0</xdr:rowOff>
    </xdr:from>
    <xdr:to>
      <xdr:col>6</xdr:col>
      <xdr:colOff>838200</xdr:colOff>
      <xdr:row>0</xdr:row>
      <xdr:rowOff>0</xdr:rowOff>
    </xdr:to>
    <xdr:sp>
      <xdr:nvSpPr>
        <xdr:cNvPr id="31" name="Line 11"/>
        <xdr:cNvSpPr>
          <a:spLocks/>
        </xdr:cNvSpPr>
      </xdr:nvSpPr>
      <xdr:spPr>
        <a:xfrm>
          <a:off x="798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819150</xdr:colOff>
      <xdr:row>151</xdr:row>
      <xdr:rowOff>0</xdr:rowOff>
    </xdr:from>
    <xdr:to>
      <xdr:col>4</xdr:col>
      <xdr:colOff>819150</xdr:colOff>
      <xdr:row>158</xdr:row>
      <xdr:rowOff>0</xdr:rowOff>
    </xdr:to>
    <xdr:sp>
      <xdr:nvSpPr>
        <xdr:cNvPr id="32" name="Line 14"/>
        <xdr:cNvSpPr>
          <a:spLocks/>
        </xdr:cNvSpPr>
      </xdr:nvSpPr>
      <xdr:spPr>
        <a:xfrm>
          <a:off x="6229350" y="4141470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151</xdr:row>
      <xdr:rowOff>9525</xdr:rowOff>
    </xdr:from>
    <xdr:to>
      <xdr:col>6</xdr:col>
      <xdr:colOff>914400</xdr:colOff>
      <xdr:row>157</xdr:row>
      <xdr:rowOff>266700</xdr:rowOff>
    </xdr:to>
    <xdr:sp>
      <xdr:nvSpPr>
        <xdr:cNvPr id="33" name="Line 15"/>
        <xdr:cNvSpPr>
          <a:spLocks/>
        </xdr:cNvSpPr>
      </xdr:nvSpPr>
      <xdr:spPr>
        <a:xfrm>
          <a:off x="7981950" y="41424225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819150</xdr:colOff>
      <xdr:row>183</xdr:row>
      <xdr:rowOff>0</xdr:rowOff>
    </xdr:from>
    <xdr:to>
      <xdr:col>4</xdr:col>
      <xdr:colOff>819150</xdr:colOff>
      <xdr:row>190</xdr:row>
      <xdr:rowOff>0</xdr:rowOff>
    </xdr:to>
    <xdr:sp>
      <xdr:nvSpPr>
        <xdr:cNvPr id="34" name="Line 16"/>
        <xdr:cNvSpPr>
          <a:spLocks/>
        </xdr:cNvSpPr>
      </xdr:nvSpPr>
      <xdr:spPr>
        <a:xfrm>
          <a:off x="6229350" y="50472975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183</xdr:row>
      <xdr:rowOff>9525</xdr:rowOff>
    </xdr:from>
    <xdr:to>
      <xdr:col>6</xdr:col>
      <xdr:colOff>914400</xdr:colOff>
      <xdr:row>189</xdr:row>
      <xdr:rowOff>266700</xdr:rowOff>
    </xdr:to>
    <xdr:sp>
      <xdr:nvSpPr>
        <xdr:cNvPr id="35" name="Line 17"/>
        <xdr:cNvSpPr>
          <a:spLocks/>
        </xdr:cNvSpPr>
      </xdr:nvSpPr>
      <xdr:spPr>
        <a:xfrm>
          <a:off x="7981950" y="50482500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819150</xdr:colOff>
      <xdr:row>214</xdr:row>
      <xdr:rowOff>0</xdr:rowOff>
    </xdr:from>
    <xdr:to>
      <xdr:col>4</xdr:col>
      <xdr:colOff>819150</xdr:colOff>
      <xdr:row>221</xdr:row>
      <xdr:rowOff>0</xdr:rowOff>
    </xdr:to>
    <xdr:sp>
      <xdr:nvSpPr>
        <xdr:cNvPr id="36" name="Line 18"/>
        <xdr:cNvSpPr>
          <a:spLocks/>
        </xdr:cNvSpPr>
      </xdr:nvSpPr>
      <xdr:spPr>
        <a:xfrm>
          <a:off x="6229350" y="59255025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214</xdr:row>
      <xdr:rowOff>9525</xdr:rowOff>
    </xdr:from>
    <xdr:to>
      <xdr:col>6</xdr:col>
      <xdr:colOff>914400</xdr:colOff>
      <xdr:row>220</xdr:row>
      <xdr:rowOff>266700</xdr:rowOff>
    </xdr:to>
    <xdr:sp>
      <xdr:nvSpPr>
        <xdr:cNvPr id="37" name="Line 19"/>
        <xdr:cNvSpPr>
          <a:spLocks/>
        </xdr:cNvSpPr>
      </xdr:nvSpPr>
      <xdr:spPr>
        <a:xfrm>
          <a:off x="7981950" y="59264550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819150</xdr:colOff>
      <xdr:row>245</xdr:row>
      <xdr:rowOff>9525</xdr:rowOff>
    </xdr:from>
    <xdr:to>
      <xdr:col>4</xdr:col>
      <xdr:colOff>819150</xdr:colOff>
      <xdr:row>252</xdr:row>
      <xdr:rowOff>9525</xdr:rowOff>
    </xdr:to>
    <xdr:sp>
      <xdr:nvSpPr>
        <xdr:cNvPr id="38" name="Line 20"/>
        <xdr:cNvSpPr>
          <a:spLocks/>
        </xdr:cNvSpPr>
      </xdr:nvSpPr>
      <xdr:spPr>
        <a:xfrm>
          <a:off x="6229350" y="6804660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245</xdr:row>
      <xdr:rowOff>0</xdr:rowOff>
    </xdr:from>
    <xdr:to>
      <xdr:col>6</xdr:col>
      <xdr:colOff>914400</xdr:colOff>
      <xdr:row>252</xdr:row>
      <xdr:rowOff>0</xdr:rowOff>
    </xdr:to>
    <xdr:sp>
      <xdr:nvSpPr>
        <xdr:cNvPr id="39" name="Line 21"/>
        <xdr:cNvSpPr>
          <a:spLocks/>
        </xdr:cNvSpPr>
      </xdr:nvSpPr>
      <xdr:spPr>
        <a:xfrm>
          <a:off x="7981950" y="68037075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819150</xdr:colOff>
      <xdr:row>280</xdr:row>
      <xdr:rowOff>9525</xdr:rowOff>
    </xdr:from>
    <xdr:to>
      <xdr:col>4</xdr:col>
      <xdr:colOff>819150</xdr:colOff>
      <xdr:row>287</xdr:row>
      <xdr:rowOff>9525</xdr:rowOff>
    </xdr:to>
    <xdr:sp>
      <xdr:nvSpPr>
        <xdr:cNvPr id="40" name="Line 22"/>
        <xdr:cNvSpPr>
          <a:spLocks/>
        </xdr:cNvSpPr>
      </xdr:nvSpPr>
      <xdr:spPr>
        <a:xfrm>
          <a:off x="6229350" y="7795260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280</xdr:row>
      <xdr:rowOff>0</xdr:rowOff>
    </xdr:from>
    <xdr:to>
      <xdr:col>6</xdr:col>
      <xdr:colOff>914400</xdr:colOff>
      <xdr:row>287</xdr:row>
      <xdr:rowOff>0</xdr:rowOff>
    </xdr:to>
    <xdr:sp>
      <xdr:nvSpPr>
        <xdr:cNvPr id="41" name="Line 23"/>
        <xdr:cNvSpPr>
          <a:spLocks/>
        </xdr:cNvSpPr>
      </xdr:nvSpPr>
      <xdr:spPr>
        <a:xfrm>
          <a:off x="7981950" y="77943075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819150</xdr:colOff>
      <xdr:row>312</xdr:row>
      <xdr:rowOff>9525</xdr:rowOff>
    </xdr:from>
    <xdr:to>
      <xdr:col>4</xdr:col>
      <xdr:colOff>819150</xdr:colOff>
      <xdr:row>319</xdr:row>
      <xdr:rowOff>9525</xdr:rowOff>
    </xdr:to>
    <xdr:sp>
      <xdr:nvSpPr>
        <xdr:cNvPr id="42" name="Line 24"/>
        <xdr:cNvSpPr>
          <a:spLocks/>
        </xdr:cNvSpPr>
      </xdr:nvSpPr>
      <xdr:spPr>
        <a:xfrm>
          <a:off x="6229350" y="87029925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312</xdr:row>
      <xdr:rowOff>0</xdr:rowOff>
    </xdr:from>
    <xdr:to>
      <xdr:col>6</xdr:col>
      <xdr:colOff>914400</xdr:colOff>
      <xdr:row>319</xdr:row>
      <xdr:rowOff>0</xdr:rowOff>
    </xdr:to>
    <xdr:sp>
      <xdr:nvSpPr>
        <xdr:cNvPr id="43" name="Line 25"/>
        <xdr:cNvSpPr>
          <a:spLocks/>
        </xdr:cNvSpPr>
      </xdr:nvSpPr>
      <xdr:spPr>
        <a:xfrm>
          <a:off x="7981950" y="8702040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44" name="Line 167"/>
        <xdr:cNvSpPr>
          <a:spLocks/>
        </xdr:cNvSpPr>
      </xdr:nvSpPr>
      <xdr:spPr>
        <a:xfrm>
          <a:off x="706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666750</xdr:colOff>
      <xdr:row>7</xdr:row>
      <xdr:rowOff>38100</xdr:rowOff>
    </xdr:from>
    <xdr:to>
      <xdr:col>5</xdr:col>
      <xdr:colOff>666750</xdr:colOff>
      <xdr:row>12</xdr:row>
      <xdr:rowOff>323850</xdr:rowOff>
    </xdr:to>
    <xdr:sp>
      <xdr:nvSpPr>
        <xdr:cNvPr id="45" name="Line 168"/>
        <xdr:cNvSpPr>
          <a:spLocks/>
        </xdr:cNvSpPr>
      </xdr:nvSpPr>
      <xdr:spPr>
        <a:xfrm>
          <a:off x="6896100" y="2114550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933450</xdr:colOff>
      <xdr:row>0</xdr:row>
      <xdr:rowOff>0</xdr:rowOff>
    </xdr:from>
    <xdr:to>
      <xdr:col>7</xdr:col>
      <xdr:colOff>838200</xdr:colOff>
      <xdr:row>0</xdr:row>
      <xdr:rowOff>0</xdr:rowOff>
    </xdr:to>
    <xdr:sp>
      <xdr:nvSpPr>
        <xdr:cNvPr id="46" name="Line 169"/>
        <xdr:cNvSpPr>
          <a:spLocks/>
        </xdr:cNvSpPr>
      </xdr:nvSpPr>
      <xdr:spPr>
        <a:xfrm>
          <a:off x="891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771525</xdr:colOff>
      <xdr:row>7</xdr:row>
      <xdr:rowOff>19050</xdr:rowOff>
    </xdr:from>
    <xdr:to>
      <xdr:col>7</xdr:col>
      <xdr:colOff>771525</xdr:colOff>
      <xdr:row>12</xdr:row>
      <xdr:rowOff>295275</xdr:rowOff>
    </xdr:to>
    <xdr:sp>
      <xdr:nvSpPr>
        <xdr:cNvPr id="47" name="Line 170"/>
        <xdr:cNvSpPr>
          <a:spLocks/>
        </xdr:cNvSpPr>
      </xdr:nvSpPr>
      <xdr:spPr>
        <a:xfrm>
          <a:off x="8753475" y="2095500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838200</xdr:colOff>
      <xdr:row>150</xdr:row>
      <xdr:rowOff>0</xdr:rowOff>
    </xdr:from>
    <xdr:to>
      <xdr:col>5</xdr:col>
      <xdr:colOff>838200</xdr:colOff>
      <xdr:row>157</xdr:row>
      <xdr:rowOff>0</xdr:rowOff>
    </xdr:to>
    <xdr:sp>
      <xdr:nvSpPr>
        <xdr:cNvPr id="48" name="Line 171"/>
        <xdr:cNvSpPr>
          <a:spLocks/>
        </xdr:cNvSpPr>
      </xdr:nvSpPr>
      <xdr:spPr>
        <a:xfrm>
          <a:off x="7067550" y="411289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933450</xdr:colOff>
      <xdr:row>150</xdr:row>
      <xdr:rowOff>9525</xdr:rowOff>
    </xdr:from>
    <xdr:to>
      <xdr:col>7</xdr:col>
      <xdr:colOff>933450</xdr:colOff>
      <xdr:row>156</xdr:row>
      <xdr:rowOff>285750</xdr:rowOff>
    </xdr:to>
    <xdr:sp>
      <xdr:nvSpPr>
        <xdr:cNvPr id="49" name="Line 172"/>
        <xdr:cNvSpPr>
          <a:spLocks/>
        </xdr:cNvSpPr>
      </xdr:nvSpPr>
      <xdr:spPr>
        <a:xfrm>
          <a:off x="8915400" y="41138475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838200</xdr:colOff>
      <xdr:row>182</xdr:row>
      <xdr:rowOff>0</xdr:rowOff>
    </xdr:from>
    <xdr:to>
      <xdr:col>5</xdr:col>
      <xdr:colOff>838200</xdr:colOff>
      <xdr:row>189</xdr:row>
      <xdr:rowOff>0</xdr:rowOff>
    </xdr:to>
    <xdr:sp>
      <xdr:nvSpPr>
        <xdr:cNvPr id="50" name="Line 173"/>
        <xdr:cNvSpPr>
          <a:spLocks/>
        </xdr:cNvSpPr>
      </xdr:nvSpPr>
      <xdr:spPr>
        <a:xfrm>
          <a:off x="7067550" y="50187225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933450</xdr:colOff>
      <xdr:row>182</xdr:row>
      <xdr:rowOff>9525</xdr:rowOff>
    </xdr:from>
    <xdr:to>
      <xdr:col>7</xdr:col>
      <xdr:colOff>933450</xdr:colOff>
      <xdr:row>188</xdr:row>
      <xdr:rowOff>285750</xdr:rowOff>
    </xdr:to>
    <xdr:sp>
      <xdr:nvSpPr>
        <xdr:cNvPr id="51" name="Line 174"/>
        <xdr:cNvSpPr>
          <a:spLocks/>
        </xdr:cNvSpPr>
      </xdr:nvSpPr>
      <xdr:spPr>
        <a:xfrm>
          <a:off x="8915400" y="50196750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838200</xdr:colOff>
      <xdr:row>213</xdr:row>
      <xdr:rowOff>0</xdr:rowOff>
    </xdr:from>
    <xdr:to>
      <xdr:col>5</xdr:col>
      <xdr:colOff>838200</xdr:colOff>
      <xdr:row>220</xdr:row>
      <xdr:rowOff>0</xdr:rowOff>
    </xdr:to>
    <xdr:sp>
      <xdr:nvSpPr>
        <xdr:cNvPr id="52" name="Line 175"/>
        <xdr:cNvSpPr>
          <a:spLocks/>
        </xdr:cNvSpPr>
      </xdr:nvSpPr>
      <xdr:spPr>
        <a:xfrm>
          <a:off x="7067550" y="58969275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933450</xdr:colOff>
      <xdr:row>213</xdr:row>
      <xdr:rowOff>9525</xdr:rowOff>
    </xdr:from>
    <xdr:to>
      <xdr:col>7</xdr:col>
      <xdr:colOff>933450</xdr:colOff>
      <xdr:row>219</xdr:row>
      <xdr:rowOff>285750</xdr:rowOff>
    </xdr:to>
    <xdr:sp>
      <xdr:nvSpPr>
        <xdr:cNvPr id="53" name="Line 176"/>
        <xdr:cNvSpPr>
          <a:spLocks/>
        </xdr:cNvSpPr>
      </xdr:nvSpPr>
      <xdr:spPr>
        <a:xfrm>
          <a:off x="8915400" y="58978800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838200</xdr:colOff>
      <xdr:row>244</xdr:row>
      <xdr:rowOff>9525</xdr:rowOff>
    </xdr:from>
    <xdr:to>
      <xdr:col>5</xdr:col>
      <xdr:colOff>838200</xdr:colOff>
      <xdr:row>251</xdr:row>
      <xdr:rowOff>9525</xdr:rowOff>
    </xdr:to>
    <xdr:sp>
      <xdr:nvSpPr>
        <xdr:cNvPr id="54" name="Line 177"/>
        <xdr:cNvSpPr>
          <a:spLocks/>
        </xdr:cNvSpPr>
      </xdr:nvSpPr>
      <xdr:spPr>
        <a:xfrm>
          <a:off x="7067550" y="677608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933450</xdr:colOff>
      <xdr:row>244</xdr:row>
      <xdr:rowOff>0</xdr:rowOff>
    </xdr:from>
    <xdr:to>
      <xdr:col>7</xdr:col>
      <xdr:colOff>933450</xdr:colOff>
      <xdr:row>251</xdr:row>
      <xdr:rowOff>0</xdr:rowOff>
    </xdr:to>
    <xdr:sp>
      <xdr:nvSpPr>
        <xdr:cNvPr id="55" name="Line 178"/>
        <xdr:cNvSpPr>
          <a:spLocks/>
        </xdr:cNvSpPr>
      </xdr:nvSpPr>
      <xdr:spPr>
        <a:xfrm>
          <a:off x="8915400" y="67751325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838200</xdr:colOff>
      <xdr:row>279</xdr:row>
      <xdr:rowOff>9525</xdr:rowOff>
    </xdr:from>
    <xdr:to>
      <xdr:col>5</xdr:col>
      <xdr:colOff>838200</xdr:colOff>
      <xdr:row>286</xdr:row>
      <xdr:rowOff>9525</xdr:rowOff>
    </xdr:to>
    <xdr:sp>
      <xdr:nvSpPr>
        <xdr:cNvPr id="56" name="Line 179"/>
        <xdr:cNvSpPr>
          <a:spLocks/>
        </xdr:cNvSpPr>
      </xdr:nvSpPr>
      <xdr:spPr>
        <a:xfrm>
          <a:off x="7067550" y="776668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933450</xdr:colOff>
      <xdr:row>279</xdr:row>
      <xdr:rowOff>0</xdr:rowOff>
    </xdr:from>
    <xdr:to>
      <xdr:col>7</xdr:col>
      <xdr:colOff>933450</xdr:colOff>
      <xdr:row>286</xdr:row>
      <xdr:rowOff>0</xdr:rowOff>
    </xdr:to>
    <xdr:sp>
      <xdr:nvSpPr>
        <xdr:cNvPr id="57" name="Line 180"/>
        <xdr:cNvSpPr>
          <a:spLocks/>
        </xdr:cNvSpPr>
      </xdr:nvSpPr>
      <xdr:spPr>
        <a:xfrm>
          <a:off x="8915400" y="77657325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838200</xdr:colOff>
      <xdr:row>311</xdr:row>
      <xdr:rowOff>9525</xdr:rowOff>
    </xdr:from>
    <xdr:to>
      <xdr:col>5</xdr:col>
      <xdr:colOff>838200</xdr:colOff>
      <xdr:row>318</xdr:row>
      <xdr:rowOff>9525</xdr:rowOff>
    </xdr:to>
    <xdr:sp>
      <xdr:nvSpPr>
        <xdr:cNvPr id="58" name="Line 181"/>
        <xdr:cNvSpPr>
          <a:spLocks/>
        </xdr:cNvSpPr>
      </xdr:nvSpPr>
      <xdr:spPr>
        <a:xfrm>
          <a:off x="7067550" y="86744175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933450</xdr:colOff>
      <xdr:row>311</xdr:row>
      <xdr:rowOff>0</xdr:rowOff>
    </xdr:from>
    <xdr:to>
      <xdr:col>7</xdr:col>
      <xdr:colOff>933450</xdr:colOff>
      <xdr:row>318</xdr:row>
      <xdr:rowOff>0</xdr:rowOff>
    </xdr:to>
    <xdr:sp>
      <xdr:nvSpPr>
        <xdr:cNvPr id="59" name="Line 182"/>
        <xdr:cNvSpPr>
          <a:spLocks/>
        </xdr:cNvSpPr>
      </xdr:nvSpPr>
      <xdr:spPr>
        <a:xfrm>
          <a:off x="8915400" y="867346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581025</xdr:colOff>
      <xdr:row>6</xdr:row>
      <xdr:rowOff>285750</xdr:rowOff>
    </xdr:from>
    <xdr:to>
      <xdr:col>3</xdr:col>
      <xdr:colOff>581025</xdr:colOff>
      <xdr:row>13</xdr:row>
      <xdr:rowOff>0</xdr:rowOff>
    </xdr:to>
    <xdr:sp>
      <xdr:nvSpPr>
        <xdr:cNvPr id="60" name="Line 183"/>
        <xdr:cNvSpPr>
          <a:spLocks/>
        </xdr:cNvSpPr>
      </xdr:nvSpPr>
      <xdr:spPr>
        <a:xfrm flipH="1">
          <a:off x="5210175" y="206692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619125</xdr:colOff>
      <xdr:row>7</xdr:row>
      <xdr:rowOff>0</xdr:rowOff>
    </xdr:from>
    <xdr:to>
      <xdr:col>4</xdr:col>
      <xdr:colOff>619125</xdr:colOff>
      <xdr:row>12</xdr:row>
      <xdr:rowOff>323850</xdr:rowOff>
    </xdr:to>
    <xdr:sp>
      <xdr:nvSpPr>
        <xdr:cNvPr id="61" name="Line 184"/>
        <xdr:cNvSpPr>
          <a:spLocks/>
        </xdr:cNvSpPr>
      </xdr:nvSpPr>
      <xdr:spPr>
        <a:xfrm>
          <a:off x="6029325" y="2076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733425</xdr:colOff>
      <xdr:row>7</xdr:row>
      <xdr:rowOff>19050</xdr:rowOff>
    </xdr:from>
    <xdr:to>
      <xdr:col>6</xdr:col>
      <xdr:colOff>733425</xdr:colOff>
      <xdr:row>12</xdr:row>
      <xdr:rowOff>304800</xdr:rowOff>
    </xdr:to>
    <xdr:sp>
      <xdr:nvSpPr>
        <xdr:cNvPr id="62" name="Line 185"/>
        <xdr:cNvSpPr>
          <a:spLocks/>
        </xdr:cNvSpPr>
      </xdr:nvSpPr>
      <xdr:spPr>
        <a:xfrm>
          <a:off x="7800975" y="2095500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733425</xdr:colOff>
      <xdr:row>6</xdr:row>
      <xdr:rowOff>276225</xdr:rowOff>
    </xdr:from>
    <xdr:to>
      <xdr:col>2</xdr:col>
      <xdr:colOff>733425</xdr:colOff>
      <xdr:row>12</xdr:row>
      <xdr:rowOff>323850</xdr:rowOff>
    </xdr:to>
    <xdr:sp>
      <xdr:nvSpPr>
        <xdr:cNvPr id="63" name="Line 186"/>
        <xdr:cNvSpPr>
          <a:spLocks/>
        </xdr:cNvSpPr>
      </xdr:nvSpPr>
      <xdr:spPr>
        <a:xfrm flipH="1">
          <a:off x="4419600" y="20574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647700</xdr:colOff>
      <xdr:row>16</xdr:row>
      <xdr:rowOff>0</xdr:rowOff>
    </xdr:from>
    <xdr:to>
      <xdr:col>5</xdr:col>
      <xdr:colOff>647700</xdr:colOff>
      <xdr:row>21</xdr:row>
      <xdr:rowOff>0</xdr:rowOff>
    </xdr:to>
    <xdr:sp>
      <xdr:nvSpPr>
        <xdr:cNvPr id="64" name="Line 8"/>
        <xdr:cNvSpPr>
          <a:spLocks/>
        </xdr:cNvSpPr>
      </xdr:nvSpPr>
      <xdr:spPr>
        <a:xfrm>
          <a:off x="6877050" y="45434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762000</xdr:colOff>
      <xdr:row>16</xdr:row>
      <xdr:rowOff>28575</xdr:rowOff>
    </xdr:from>
    <xdr:to>
      <xdr:col>7</xdr:col>
      <xdr:colOff>762000</xdr:colOff>
      <xdr:row>21</xdr:row>
      <xdr:rowOff>28575</xdr:rowOff>
    </xdr:to>
    <xdr:sp>
      <xdr:nvSpPr>
        <xdr:cNvPr id="65" name="Line 13"/>
        <xdr:cNvSpPr>
          <a:spLocks/>
        </xdr:cNvSpPr>
      </xdr:nvSpPr>
      <xdr:spPr>
        <a:xfrm>
          <a:off x="8743950" y="457200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571500</xdr:colOff>
      <xdr:row>16</xdr:row>
      <xdr:rowOff>9525</xdr:rowOff>
    </xdr:from>
    <xdr:to>
      <xdr:col>3</xdr:col>
      <xdr:colOff>581025</xdr:colOff>
      <xdr:row>20</xdr:row>
      <xdr:rowOff>257175</xdr:rowOff>
    </xdr:to>
    <xdr:sp>
      <xdr:nvSpPr>
        <xdr:cNvPr id="66" name="Line 27"/>
        <xdr:cNvSpPr>
          <a:spLocks/>
        </xdr:cNvSpPr>
      </xdr:nvSpPr>
      <xdr:spPr>
        <a:xfrm>
          <a:off x="5200650" y="455295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609600</xdr:colOff>
      <xdr:row>15</xdr:row>
      <xdr:rowOff>219075</xdr:rowOff>
    </xdr:from>
    <xdr:to>
      <xdr:col>4</xdr:col>
      <xdr:colOff>609600</xdr:colOff>
      <xdr:row>20</xdr:row>
      <xdr:rowOff>247650</xdr:rowOff>
    </xdr:to>
    <xdr:sp>
      <xdr:nvSpPr>
        <xdr:cNvPr id="67" name="Line 28"/>
        <xdr:cNvSpPr>
          <a:spLocks/>
        </xdr:cNvSpPr>
      </xdr:nvSpPr>
      <xdr:spPr>
        <a:xfrm>
          <a:off x="6019800" y="4495800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742950</xdr:colOff>
      <xdr:row>16</xdr:row>
      <xdr:rowOff>0</xdr:rowOff>
    </xdr:from>
    <xdr:to>
      <xdr:col>6</xdr:col>
      <xdr:colOff>742950</xdr:colOff>
      <xdr:row>21</xdr:row>
      <xdr:rowOff>0</xdr:rowOff>
    </xdr:to>
    <xdr:sp>
      <xdr:nvSpPr>
        <xdr:cNvPr id="68" name="Line 29"/>
        <xdr:cNvSpPr>
          <a:spLocks/>
        </xdr:cNvSpPr>
      </xdr:nvSpPr>
      <xdr:spPr>
        <a:xfrm>
          <a:off x="7810500" y="45434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40</xdr:row>
      <xdr:rowOff>200025</xdr:rowOff>
    </xdr:from>
    <xdr:to>
      <xdr:col>12</xdr:col>
      <xdr:colOff>133350</xdr:colOff>
      <xdr:row>45</xdr:row>
      <xdr:rowOff>76200</xdr:rowOff>
    </xdr:to>
    <xdr:sp>
      <xdr:nvSpPr>
        <xdr:cNvPr id="69" name="Line 29"/>
        <xdr:cNvSpPr>
          <a:spLocks/>
        </xdr:cNvSpPr>
      </xdr:nvSpPr>
      <xdr:spPr>
        <a:xfrm>
          <a:off x="11487150" y="1154430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180975</xdr:colOff>
      <xdr:row>36</xdr:row>
      <xdr:rowOff>0</xdr:rowOff>
    </xdr:from>
    <xdr:to>
      <xdr:col>9</xdr:col>
      <xdr:colOff>180975</xdr:colOff>
      <xdr:row>36</xdr:row>
      <xdr:rowOff>9525</xdr:rowOff>
    </xdr:to>
    <xdr:sp>
      <xdr:nvSpPr>
        <xdr:cNvPr id="70" name="Line 28"/>
        <xdr:cNvSpPr>
          <a:spLocks/>
        </xdr:cNvSpPr>
      </xdr:nvSpPr>
      <xdr:spPr>
        <a:xfrm>
          <a:off x="9705975" y="10191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733425</xdr:colOff>
      <xdr:row>15</xdr:row>
      <xdr:rowOff>257175</xdr:rowOff>
    </xdr:from>
    <xdr:to>
      <xdr:col>2</xdr:col>
      <xdr:colOff>733425</xdr:colOff>
      <xdr:row>20</xdr:row>
      <xdr:rowOff>266700</xdr:rowOff>
    </xdr:to>
    <xdr:sp>
      <xdr:nvSpPr>
        <xdr:cNvPr id="71" name="Line 197"/>
        <xdr:cNvSpPr>
          <a:spLocks/>
        </xdr:cNvSpPr>
      </xdr:nvSpPr>
      <xdr:spPr>
        <a:xfrm>
          <a:off x="4419600" y="453390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942975</xdr:colOff>
      <xdr:row>28</xdr:row>
      <xdr:rowOff>0</xdr:rowOff>
    </xdr:from>
    <xdr:to>
      <xdr:col>2</xdr:col>
      <xdr:colOff>733425</xdr:colOff>
      <xdr:row>28</xdr:row>
      <xdr:rowOff>0</xdr:rowOff>
    </xdr:to>
    <xdr:sp>
      <xdr:nvSpPr>
        <xdr:cNvPr id="72" name="Line 19"/>
        <xdr:cNvSpPr>
          <a:spLocks/>
        </xdr:cNvSpPr>
      </xdr:nvSpPr>
      <xdr:spPr>
        <a:xfrm>
          <a:off x="4629150" y="80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628650</xdr:colOff>
      <xdr:row>30</xdr:row>
      <xdr:rowOff>0</xdr:rowOff>
    </xdr:from>
    <xdr:to>
      <xdr:col>4</xdr:col>
      <xdr:colOff>628650</xdr:colOff>
      <xdr:row>35</xdr:row>
      <xdr:rowOff>276225</xdr:rowOff>
    </xdr:to>
    <xdr:sp>
      <xdr:nvSpPr>
        <xdr:cNvPr id="73" name="Line 8"/>
        <xdr:cNvSpPr>
          <a:spLocks/>
        </xdr:cNvSpPr>
      </xdr:nvSpPr>
      <xdr:spPr>
        <a:xfrm>
          <a:off x="6038850" y="8610600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666750</xdr:colOff>
      <xdr:row>30</xdr:row>
      <xdr:rowOff>38100</xdr:rowOff>
    </xdr:from>
    <xdr:to>
      <xdr:col>5</xdr:col>
      <xdr:colOff>666750</xdr:colOff>
      <xdr:row>35</xdr:row>
      <xdr:rowOff>276225</xdr:rowOff>
    </xdr:to>
    <xdr:sp>
      <xdr:nvSpPr>
        <xdr:cNvPr id="74" name="Line 200"/>
        <xdr:cNvSpPr>
          <a:spLocks/>
        </xdr:cNvSpPr>
      </xdr:nvSpPr>
      <xdr:spPr>
        <a:xfrm>
          <a:off x="6896100" y="864870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771525</xdr:colOff>
      <xdr:row>30</xdr:row>
      <xdr:rowOff>19050</xdr:rowOff>
    </xdr:from>
    <xdr:to>
      <xdr:col>7</xdr:col>
      <xdr:colOff>771525</xdr:colOff>
      <xdr:row>35</xdr:row>
      <xdr:rowOff>276225</xdr:rowOff>
    </xdr:to>
    <xdr:sp>
      <xdr:nvSpPr>
        <xdr:cNvPr id="75" name="Line 201"/>
        <xdr:cNvSpPr>
          <a:spLocks/>
        </xdr:cNvSpPr>
      </xdr:nvSpPr>
      <xdr:spPr>
        <a:xfrm>
          <a:off x="8753475" y="86296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581025</xdr:colOff>
      <xdr:row>29</xdr:row>
      <xdr:rowOff>285750</xdr:rowOff>
    </xdr:from>
    <xdr:to>
      <xdr:col>3</xdr:col>
      <xdr:colOff>581025</xdr:colOff>
      <xdr:row>36</xdr:row>
      <xdr:rowOff>0</xdr:rowOff>
    </xdr:to>
    <xdr:sp>
      <xdr:nvSpPr>
        <xdr:cNvPr id="76" name="Line 202"/>
        <xdr:cNvSpPr>
          <a:spLocks/>
        </xdr:cNvSpPr>
      </xdr:nvSpPr>
      <xdr:spPr>
        <a:xfrm flipH="1">
          <a:off x="5210175" y="8601075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619125</xdr:colOff>
      <xdr:row>30</xdr:row>
      <xdr:rowOff>0</xdr:rowOff>
    </xdr:from>
    <xdr:to>
      <xdr:col>4</xdr:col>
      <xdr:colOff>619125</xdr:colOff>
      <xdr:row>35</xdr:row>
      <xdr:rowOff>276225</xdr:rowOff>
    </xdr:to>
    <xdr:sp>
      <xdr:nvSpPr>
        <xdr:cNvPr id="77" name="Line 203"/>
        <xdr:cNvSpPr>
          <a:spLocks/>
        </xdr:cNvSpPr>
      </xdr:nvSpPr>
      <xdr:spPr>
        <a:xfrm>
          <a:off x="6029325" y="8610600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733425</xdr:colOff>
      <xdr:row>30</xdr:row>
      <xdr:rowOff>19050</xdr:rowOff>
    </xdr:from>
    <xdr:to>
      <xdr:col>6</xdr:col>
      <xdr:colOff>733425</xdr:colOff>
      <xdr:row>35</xdr:row>
      <xdr:rowOff>276225</xdr:rowOff>
    </xdr:to>
    <xdr:sp>
      <xdr:nvSpPr>
        <xdr:cNvPr id="78" name="Line 204"/>
        <xdr:cNvSpPr>
          <a:spLocks/>
        </xdr:cNvSpPr>
      </xdr:nvSpPr>
      <xdr:spPr>
        <a:xfrm>
          <a:off x="7800975" y="86296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733425</xdr:colOff>
      <xdr:row>29</xdr:row>
      <xdr:rowOff>276225</xdr:rowOff>
    </xdr:from>
    <xdr:to>
      <xdr:col>2</xdr:col>
      <xdr:colOff>733425</xdr:colOff>
      <xdr:row>35</xdr:row>
      <xdr:rowOff>276225</xdr:rowOff>
    </xdr:to>
    <xdr:sp>
      <xdr:nvSpPr>
        <xdr:cNvPr id="79" name="Line 205"/>
        <xdr:cNvSpPr>
          <a:spLocks/>
        </xdr:cNvSpPr>
      </xdr:nvSpPr>
      <xdr:spPr>
        <a:xfrm flipH="1">
          <a:off x="4419600" y="85915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647700</xdr:colOff>
      <xdr:row>36</xdr:row>
      <xdr:rowOff>0</xdr:rowOff>
    </xdr:from>
    <xdr:to>
      <xdr:col>5</xdr:col>
      <xdr:colOff>647700</xdr:colOff>
      <xdr:row>36</xdr:row>
      <xdr:rowOff>0</xdr:rowOff>
    </xdr:to>
    <xdr:sp>
      <xdr:nvSpPr>
        <xdr:cNvPr id="80" name="Line 8"/>
        <xdr:cNvSpPr>
          <a:spLocks/>
        </xdr:cNvSpPr>
      </xdr:nvSpPr>
      <xdr:spPr>
        <a:xfrm>
          <a:off x="68770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762000</xdr:colOff>
      <xdr:row>36</xdr:row>
      <xdr:rowOff>0</xdr:rowOff>
    </xdr:from>
    <xdr:to>
      <xdr:col>7</xdr:col>
      <xdr:colOff>762000</xdr:colOff>
      <xdr:row>36</xdr:row>
      <xdr:rowOff>28575</xdr:rowOff>
    </xdr:to>
    <xdr:sp>
      <xdr:nvSpPr>
        <xdr:cNvPr id="81" name="Line 13"/>
        <xdr:cNvSpPr>
          <a:spLocks/>
        </xdr:cNvSpPr>
      </xdr:nvSpPr>
      <xdr:spPr>
        <a:xfrm>
          <a:off x="8743950" y="101917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571500</xdr:colOff>
      <xdr:row>36</xdr:row>
      <xdr:rowOff>0</xdr:rowOff>
    </xdr:from>
    <xdr:to>
      <xdr:col>3</xdr:col>
      <xdr:colOff>581025</xdr:colOff>
      <xdr:row>36</xdr:row>
      <xdr:rowOff>0</xdr:rowOff>
    </xdr:to>
    <xdr:sp>
      <xdr:nvSpPr>
        <xdr:cNvPr id="82" name="Line 27"/>
        <xdr:cNvSpPr>
          <a:spLocks/>
        </xdr:cNvSpPr>
      </xdr:nvSpPr>
      <xdr:spPr>
        <a:xfrm>
          <a:off x="5200650" y="10191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609600</xdr:colOff>
      <xdr:row>36</xdr:row>
      <xdr:rowOff>0</xdr:rowOff>
    </xdr:from>
    <xdr:to>
      <xdr:col>4</xdr:col>
      <xdr:colOff>609600</xdr:colOff>
      <xdr:row>36</xdr:row>
      <xdr:rowOff>0</xdr:rowOff>
    </xdr:to>
    <xdr:sp>
      <xdr:nvSpPr>
        <xdr:cNvPr id="83" name="Line 28"/>
        <xdr:cNvSpPr>
          <a:spLocks/>
        </xdr:cNvSpPr>
      </xdr:nvSpPr>
      <xdr:spPr>
        <a:xfrm>
          <a:off x="60198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742950</xdr:colOff>
      <xdr:row>36</xdr:row>
      <xdr:rowOff>0</xdr:rowOff>
    </xdr:from>
    <xdr:to>
      <xdr:col>6</xdr:col>
      <xdr:colOff>742950</xdr:colOff>
      <xdr:row>36</xdr:row>
      <xdr:rowOff>0</xdr:rowOff>
    </xdr:to>
    <xdr:sp>
      <xdr:nvSpPr>
        <xdr:cNvPr id="84" name="Line 29"/>
        <xdr:cNvSpPr>
          <a:spLocks/>
        </xdr:cNvSpPr>
      </xdr:nvSpPr>
      <xdr:spPr>
        <a:xfrm>
          <a:off x="78105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733425</xdr:colOff>
      <xdr:row>36</xdr:row>
      <xdr:rowOff>0</xdr:rowOff>
    </xdr:from>
    <xdr:to>
      <xdr:col>2</xdr:col>
      <xdr:colOff>733425</xdr:colOff>
      <xdr:row>36</xdr:row>
      <xdr:rowOff>0</xdr:rowOff>
    </xdr:to>
    <xdr:sp>
      <xdr:nvSpPr>
        <xdr:cNvPr id="85" name="Line 211"/>
        <xdr:cNvSpPr>
          <a:spLocks/>
        </xdr:cNvSpPr>
      </xdr:nvSpPr>
      <xdr:spPr>
        <a:xfrm>
          <a:off x="4419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1" name="Line 7"/>
        <xdr:cNvSpPr>
          <a:spLocks/>
        </xdr:cNvSpPr>
      </xdr:nvSpPr>
      <xdr:spPr>
        <a:xfrm>
          <a:off x="589597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0</xdr:row>
      <xdr:rowOff>28575</xdr:rowOff>
    </xdr:from>
    <xdr:to>
      <xdr:col>5</xdr:col>
      <xdr:colOff>942975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10425" y="28575"/>
          <a:ext cx="2085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หมายเหตุ  4
</a:t>
          </a:r>
          <a:r>
            <a:rPr lang="en-US" cap="none" sz="16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</a:p>
      </xdr:txBody>
    </xdr:sp>
    <xdr:clientData/>
  </xdr:twoCellAnchor>
  <xdr:twoCellAnchor>
    <xdr:from>
      <xdr:col>1</xdr:col>
      <xdr:colOff>828675</xdr:colOff>
      <xdr:row>6</xdr:row>
      <xdr:rowOff>19050</xdr:rowOff>
    </xdr:from>
    <xdr:to>
      <xdr:col>1</xdr:col>
      <xdr:colOff>828675</xdr:colOff>
      <xdr:row>23</xdr:row>
      <xdr:rowOff>257175</xdr:rowOff>
    </xdr:to>
    <xdr:sp>
      <xdr:nvSpPr>
        <xdr:cNvPr id="2" name="Line 3"/>
        <xdr:cNvSpPr>
          <a:spLocks/>
        </xdr:cNvSpPr>
      </xdr:nvSpPr>
      <xdr:spPr>
        <a:xfrm>
          <a:off x="5219700" y="1504950"/>
          <a:ext cx="0" cy="446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828675</xdr:colOff>
      <xdr:row>6</xdr:row>
      <xdr:rowOff>9525</xdr:rowOff>
    </xdr:from>
    <xdr:to>
      <xdr:col>2</xdr:col>
      <xdr:colOff>828675</xdr:colOff>
      <xdr:row>23</xdr:row>
      <xdr:rowOff>257175</xdr:rowOff>
    </xdr:to>
    <xdr:sp>
      <xdr:nvSpPr>
        <xdr:cNvPr id="3" name="Line 4"/>
        <xdr:cNvSpPr>
          <a:spLocks/>
        </xdr:cNvSpPr>
      </xdr:nvSpPr>
      <xdr:spPr>
        <a:xfrm>
          <a:off x="6210300" y="149542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0</xdr:rowOff>
    </xdr:from>
    <xdr:to>
      <xdr:col>3</xdr:col>
      <xdr:colOff>828675</xdr:colOff>
      <xdr:row>24</xdr:row>
      <xdr:rowOff>0</xdr:rowOff>
    </xdr:to>
    <xdr:sp>
      <xdr:nvSpPr>
        <xdr:cNvPr id="4" name="Line 5"/>
        <xdr:cNvSpPr>
          <a:spLocks/>
        </xdr:cNvSpPr>
      </xdr:nvSpPr>
      <xdr:spPr>
        <a:xfrm>
          <a:off x="7200900" y="1485900"/>
          <a:ext cx="0" cy="448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828675</xdr:colOff>
      <xdr:row>5</xdr:row>
      <xdr:rowOff>247650</xdr:rowOff>
    </xdr:from>
    <xdr:to>
      <xdr:col>4</xdr:col>
      <xdr:colOff>828675</xdr:colOff>
      <xdr:row>23</xdr:row>
      <xdr:rowOff>257175</xdr:rowOff>
    </xdr:to>
    <xdr:sp>
      <xdr:nvSpPr>
        <xdr:cNvPr id="5" name="Line 6"/>
        <xdr:cNvSpPr>
          <a:spLocks/>
        </xdr:cNvSpPr>
      </xdr:nvSpPr>
      <xdr:spPr>
        <a:xfrm flipH="1">
          <a:off x="8191500" y="1485900"/>
          <a:ext cx="0" cy="448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838200</xdr:colOff>
      <xdr:row>25</xdr:row>
      <xdr:rowOff>28575</xdr:rowOff>
    </xdr:from>
    <xdr:to>
      <xdr:col>6</xdr:col>
      <xdr:colOff>0</xdr:colOff>
      <xdr:row>26</xdr:row>
      <xdr:rowOff>114300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7210425" y="6257925"/>
          <a:ext cx="2085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sng" baseline="0">
              <a:solidFill>
                <a:srgbClr val="000000"/>
              </a:solidFill>
            </a:rPr>
            <a:t>หมายเหตุ  4  </a:t>
          </a:r>
        </a:p>
      </xdr:txBody>
    </xdr:sp>
    <xdr:clientData/>
  </xdr:twoCellAnchor>
  <xdr:twoCellAnchor>
    <xdr:from>
      <xdr:col>1</xdr:col>
      <xdr:colOff>828675</xdr:colOff>
      <xdr:row>31</xdr:row>
      <xdr:rowOff>0</xdr:rowOff>
    </xdr:from>
    <xdr:to>
      <xdr:col>1</xdr:col>
      <xdr:colOff>828675</xdr:colOff>
      <xdr:row>47</xdr:row>
      <xdr:rowOff>257175</xdr:rowOff>
    </xdr:to>
    <xdr:sp>
      <xdr:nvSpPr>
        <xdr:cNvPr id="7" name="Line 3"/>
        <xdr:cNvSpPr>
          <a:spLocks/>
        </xdr:cNvSpPr>
      </xdr:nvSpPr>
      <xdr:spPr>
        <a:xfrm>
          <a:off x="5219700" y="7715250"/>
          <a:ext cx="0" cy="423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828675</xdr:colOff>
      <xdr:row>31</xdr:row>
      <xdr:rowOff>0</xdr:rowOff>
    </xdr:from>
    <xdr:to>
      <xdr:col>2</xdr:col>
      <xdr:colOff>828675</xdr:colOff>
      <xdr:row>47</xdr:row>
      <xdr:rowOff>257175</xdr:rowOff>
    </xdr:to>
    <xdr:sp>
      <xdr:nvSpPr>
        <xdr:cNvPr id="8" name="Line 4"/>
        <xdr:cNvSpPr>
          <a:spLocks/>
        </xdr:cNvSpPr>
      </xdr:nvSpPr>
      <xdr:spPr>
        <a:xfrm>
          <a:off x="6210300" y="7715250"/>
          <a:ext cx="0" cy="423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828675</xdr:colOff>
      <xdr:row>31</xdr:row>
      <xdr:rowOff>0</xdr:rowOff>
    </xdr:from>
    <xdr:to>
      <xdr:col>3</xdr:col>
      <xdr:colOff>828675</xdr:colOff>
      <xdr:row>48</xdr:row>
      <xdr:rowOff>9525</xdr:rowOff>
    </xdr:to>
    <xdr:sp>
      <xdr:nvSpPr>
        <xdr:cNvPr id="9" name="Line 5"/>
        <xdr:cNvSpPr>
          <a:spLocks/>
        </xdr:cNvSpPr>
      </xdr:nvSpPr>
      <xdr:spPr>
        <a:xfrm>
          <a:off x="7200900" y="7715250"/>
          <a:ext cx="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828675</xdr:colOff>
      <xdr:row>30</xdr:row>
      <xdr:rowOff>247650</xdr:rowOff>
    </xdr:from>
    <xdr:to>
      <xdr:col>4</xdr:col>
      <xdr:colOff>828675</xdr:colOff>
      <xdr:row>47</xdr:row>
      <xdr:rowOff>257175</xdr:rowOff>
    </xdr:to>
    <xdr:sp>
      <xdr:nvSpPr>
        <xdr:cNvPr id="10" name="Line 6"/>
        <xdr:cNvSpPr>
          <a:spLocks/>
        </xdr:cNvSpPr>
      </xdr:nvSpPr>
      <xdr:spPr>
        <a:xfrm flipH="1">
          <a:off x="8191500" y="7715250"/>
          <a:ext cx="0" cy="423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0</xdr:row>
      <xdr:rowOff>28575</xdr:rowOff>
    </xdr:from>
    <xdr:to>
      <xdr:col>5</xdr:col>
      <xdr:colOff>942975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10425" y="28575"/>
          <a:ext cx="2085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sng" baseline="0">
              <a:solidFill>
                <a:srgbClr val="000000"/>
              </a:solidFill>
            </a:rPr>
            <a:t>หมายเหตุ  4  </a:t>
          </a:r>
        </a:p>
      </xdr:txBody>
    </xdr:sp>
    <xdr:clientData/>
  </xdr:twoCellAnchor>
  <xdr:twoCellAnchor>
    <xdr:from>
      <xdr:col>1</xdr:col>
      <xdr:colOff>828675</xdr:colOff>
      <xdr:row>6</xdr:row>
      <xdr:rowOff>19050</xdr:rowOff>
    </xdr:from>
    <xdr:to>
      <xdr:col>1</xdr:col>
      <xdr:colOff>828675</xdr:colOff>
      <xdr:row>15</xdr:row>
      <xdr:rowOff>257175</xdr:rowOff>
    </xdr:to>
    <xdr:sp>
      <xdr:nvSpPr>
        <xdr:cNvPr id="2" name="Line 3"/>
        <xdr:cNvSpPr>
          <a:spLocks/>
        </xdr:cNvSpPr>
      </xdr:nvSpPr>
      <xdr:spPr>
        <a:xfrm>
          <a:off x="5219700" y="150495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828675</xdr:colOff>
      <xdr:row>6</xdr:row>
      <xdr:rowOff>9525</xdr:rowOff>
    </xdr:from>
    <xdr:to>
      <xdr:col>2</xdr:col>
      <xdr:colOff>828675</xdr:colOff>
      <xdr:row>15</xdr:row>
      <xdr:rowOff>257175</xdr:rowOff>
    </xdr:to>
    <xdr:sp>
      <xdr:nvSpPr>
        <xdr:cNvPr id="3" name="Line 4"/>
        <xdr:cNvSpPr>
          <a:spLocks/>
        </xdr:cNvSpPr>
      </xdr:nvSpPr>
      <xdr:spPr>
        <a:xfrm>
          <a:off x="6210300" y="149542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0</xdr:rowOff>
    </xdr:from>
    <xdr:to>
      <xdr:col>3</xdr:col>
      <xdr:colOff>828675</xdr:colOff>
      <xdr:row>16</xdr:row>
      <xdr:rowOff>9525</xdr:rowOff>
    </xdr:to>
    <xdr:sp>
      <xdr:nvSpPr>
        <xdr:cNvPr id="4" name="Line 5"/>
        <xdr:cNvSpPr>
          <a:spLocks/>
        </xdr:cNvSpPr>
      </xdr:nvSpPr>
      <xdr:spPr>
        <a:xfrm>
          <a:off x="7200900" y="148590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828675</xdr:colOff>
      <xdr:row>5</xdr:row>
      <xdr:rowOff>247650</xdr:rowOff>
    </xdr:from>
    <xdr:to>
      <xdr:col>4</xdr:col>
      <xdr:colOff>828675</xdr:colOff>
      <xdr:row>15</xdr:row>
      <xdr:rowOff>257175</xdr:rowOff>
    </xdr:to>
    <xdr:sp>
      <xdr:nvSpPr>
        <xdr:cNvPr id="5" name="Line 6"/>
        <xdr:cNvSpPr>
          <a:spLocks/>
        </xdr:cNvSpPr>
      </xdr:nvSpPr>
      <xdr:spPr>
        <a:xfrm flipH="1">
          <a:off x="8191500" y="1485900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24</xdr:row>
      <xdr:rowOff>9525</xdr:rowOff>
    </xdr:from>
    <xdr:to>
      <xdr:col>9</xdr:col>
      <xdr:colOff>19050</xdr:colOff>
      <xdr:row>24</xdr:row>
      <xdr:rowOff>9525</xdr:rowOff>
    </xdr:to>
    <xdr:sp>
      <xdr:nvSpPr>
        <xdr:cNvPr id="1" name="Line 3"/>
        <xdr:cNvSpPr>
          <a:spLocks/>
        </xdr:cNvSpPr>
      </xdr:nvSpPr>
      <xdr:spPr>
        <a:xfrm>
          <a:off x="5267325" y="6886575"/>
          <a:ext cx="1038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152400</xdr:colOff>
      <xdr:row>23</xdr:row>
      <xdr:rowOff>0</xdr:rowOff>
    </xdr:from>
    <xdr:to>
      <xdr:col>8</xdr:col>
      <xdr:colOff>1019175</xdr:colOff>
      <xdr:row>23</xdr:row>
      <xdr:rowOff>0</xdr:rowOff>
    </xdr:to>
    <xdr:sp>
      <xdr:nvSpPr>
        <xdr:cNvPr id="2" name="Line 4"/>
        <xdr:cNvSpPr>
          <a:spLocks/>
        </xdr:cNvSpPr>
      </xdr:nvSpPr>
      <xdr:spPr>
        <a:xfrm>
          <a:off x="5248275" y="66103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3048000" y="23050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267700" y="0"/>
          <a:ext cx="2286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277225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305800" y="0"/>
          <a:ext cx="1905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447675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8334375" y="0"/>
          <a:ext cx="1619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305800" y="0"/>
          <a:ext cx="1905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419100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3058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5</xdr:col>
      <xdr:colOff>933450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600825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400050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286750" y="0"/>
          <a:ext cx="2095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296275" y="0"/>
          <a:ext cx="2000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228600</xdr:colOff>
      <xdr:row>0</xdr:row>
      <xdr:rowOff>0</xdr:rowOff>
    </xdr:from>
    <xdr:to>
      <xdr:col>5</xdr:col>
      <xdr:colOff>933450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572250" y="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32</xdr:row>
      <xdr:rowOff>0</xdr:rowOff>
    </xdr:from>
    <xdr:to>
      <xdr:col>2</xdr:col>
      <xdr:colOff>1209675</xdr:colOff>
      <xdr:row>37</xdr:row>
      <xdr:rowOff>0</xdr:rowOff>
    </xdr:to>
    <xdr:sp>
      <xdr:nvSpPr>
        <xdr:cNvPr id="1" name="Line 755"/>
        <xdr:cNvSpPr>
          <a:spLocks/>
        </xdr:cNvSpPr>
      </xdr:nvSpPr>
      <xdr:spPr>
        <a:xfrm flipH="1">
          <a:off x="1924050" y="926782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9525</xdr:rowOff>
    </xdr:from>
    <xdr:to>
      <xdr:col>4</xdr:col>
      <xdr:colOff>0</xdr:colOff>
      <xdr:row>37</xdr:row>
      <xdr:rowOff>0</xdr:rowOff>
    </xdr:to>
    <xdr:sp>
      <xdr:nvSpPr>
        <xdr:cNvPr id="2" name="Line 756"/>
        <xdr:cNvSpPr>
          <a:spLocks/>
        </xdr:cNvSpPr>
      </xdr:nvSpPr>
      <xdr:spPr>
        <a:xfrm>
          <a:off x="4810125" y="927735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139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27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609600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5" name="Line 3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6" name="Line 4"/>
        <xdr:cNvSpPr>
          <a:spLocks/>
        </xdr:cNvSpPr>
      </xdr:nvSpPr>
      <xdr:spPr>
        <a:xfrm>
          <a:off x="139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609600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7" name="Line 5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8" name="Line 6"/>
        <xdr:cNvSpPr>
          <a:spLocks/>
        </xdr:cNvSpPr>
      </xdr:nvSpPr>
      <xdr:spPr>
        <a:xfrm>
          <a:off x="27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9" name="Line 7"/>
        <xdr:cNvSpPr>
          <a:spLocks/>
        </xdr:cNvSpPr>
      </xdr:nvSpPr>
      <xdr:spPr>
        <a:xfrm>
          <a:off x="139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609600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10" name="Line 8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1" name="Line 9"/>
        <xdr:cNvSpPr>
          <a:spLocks/>
        </xdr:cNvSpPr>
      </xdr:nvSpPr>
      <xdr:spPr>
        <a:xfrm>
          <a:off x="139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609600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12" name="Line 10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13" name="Line 11"/>
        <xdr:cNvSpPr>
          <a:spLocks/>
        </xdr:cNvSpPr>
      </xdr:nvSpPr>
      <xdr:spPr>
        <a:xfrm>
          <a:off x="27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4" name="Line 12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15" name="Line 13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714375</xdr:colOff>
      <xdr:row>0</xdr:row>
      <xdr:rowOff>0</xdr:rowOff>
    </xdr:from>
    <xdr:to>
      <xdr:col>2</xdr:col>
      <xdr:colOff>714375</xdr:colOff>
      <xdr:row>0</xdr:row>
      <xdr:rowOff>0</xdr:rowOff>
    </xdr:to>
    <xdr:sp>
      <xdr:nvSpPr>
        <xdr:cNvPr id="16" name="Line 14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Line 15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8" name="Line 16"/>
        <xdr:cNvSpPr>
          <a:spLocks/>
        </xdr:cNvSpPr>
      </xdr:nvSpPr>
      <xdr:spPr>
        <a:xfrm>
          <a:off x="139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19" name="Line 17"/>
        <xdr:cNvSpPr>
          <a:spLocks/>
        </xdr:cNvSpPr>
      </xdr:nvSpPr>
      <xdr:spPr>
        <a:xfrm>
          <a:off x="27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609600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20" name="Line 18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21" name="Line 19"/>
        <xdr:cNvSpPr>
          <a:spLocks/>
        </xdr:cNvSpPr>
      </xdr:nvSpPr>
      <xdr:spPr>
        <a:xfrm>
          <a:off x="139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609600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22" name="Line 20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23" name="Line 21"/>
        <xdr:cNvSpPr>
          <a:spLocks/>
        </xdr:cNvSpPr>
      </xdr:nvSpPr>
      <xdr:spPr>
        <a:xfrm>
          <a:off x="27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24" name="Line 22"/>
        <xdr:cNvSpPr>
          <a:spLocks/>
        </xdr:cNvSpPr>
      </xdr:nvSpPr>
      <xdr:spPr>
        <a:xfrm>
          <a:off x="139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609600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25" name="Line 23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26" name="Line 24"/>
        <xdr:cNvSpPr>
          <a:spLocks/>
        </xdr:cNvSpPr>
      </xdr:nvSpPr>
      <xdr:spPr>
        <a:xfrm>
          <a:off x="139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609600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27" name="Line 25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28" name="Line 26"/>
        <xdr:cNvSpPr>
          <a:spLocks/>
        </xdr:cNvSpPr>
      </xdr:nvSpPr>
      <xdr:spPr>
        <a:xfrm>
          <a:off x="27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9" name="Line 27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30" name="Line 28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31" name="Line 29"/>
        <xdr:cNvSpPr>
          <a:spLocks/>
        </xdr:cNvSpPr>
      </xdr:nvSpPr>
      <xdr:spPr>
        <a:xfrm>
          <a:off x="154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Line 30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33" name="Line 31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34" name="Line 32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2</xdr:col>
      <xdr:colOff>1000125</xdr:colOff>
      <xdr:row>0</xdr:row>
      <xdr:rowOff>0</xdr:rowOff>
    </xdr:to>
    <xdr:sp>
      <xdr:nvSpPr>
        <xdr:cNvPr id="35" name="Line 33"/>
        <xdr:cNvSpPr>
          <a:spLocks/>
        </xdr:cNvSpPr>
      </xdr:nvSpPr>
      <xdr:spPr>
        <a:xfrm flipH="1">
          <a:off x="171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" name="Line 34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37" name="Line 35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38" name="Line 36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39" name="Line 37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" name="Line 38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41" name="Line 39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42" name="Line 40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1114425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43" name="Line 41"/>
        <xdr:cNvSpPr>
          <a:spLocks/>
        </xdr:cNvSpPr>
      </xdr:nvSpPr>
      <xdr:spPr>
        <a:xfrm flipH="1">
          <a:off x="182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400050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44" name="Line 4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45" name="Line 43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46" name="Line 44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1152525</xdr:colOff>
      <xdr:row>0</xdr:row>
      <xdr:rowOff>0</xdr:rowOff>
    </xdr:from>
    <xdr:to>
      <xdr:col>2</xdr:col>
      <xdr:colOff>1152525</xdr:colOff>
      <xdr:row>0</xdr:row>
      <xdr:rowOff>0</xdr:rowOff>
    </xdr:to>
    <xdr:sp>
      <xdr:nvSpPr>
        <xdr:cNvPr id="47" name="Line 45"/>
        <xdr:cNvSpPr>
          <a:spLocks/>
        </xdr:cNvSpPr>
      </xdr:nvSpPr>
      <xdr:spPr>
        <a:xfrm flipH="1">
          <a:off x="186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" name="Line 46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49" name="Line 47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50" name="Line 48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1181100</xdr:colOff>
      <xdr:row>0</xdr:row>
      <xdr:rowOff>0</xdr:rowOff>
    </xdr:from>
    <xdr:to>
      <xdr:col>2</xdr:col>
      <xdr:colOff>1181100</xdr:colOff>
      <xdr:row>0</xdr:row>
      <xdr:rowOff>0</xdr:rowOff>
    </xdr:to>
    <xdr:sp>
      <xdr:nvSpPr>
        <xdr:cNvPr id="51" name="Line 49"/>
        <xdr:cNvSpPr>
          <a:spLocks/>
        </xdr:cNvSpPr>
      </xdr:nvSpPr>
      <xdr:spPr>
        <a:xfrm flipH="1">
          <a:off x="189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" name="Line 50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53" name="Line 51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54" name="Line 52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55" name="Line 53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" name="Line 54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57" name="Line 55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" name="Line 56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59" name="Line 57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60" name="Line 58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61" name="Line 59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62" name="Line 60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2</xdr:col>
      <xdr:colOff>1000125</xdr:colOff>
      <xdr:row>0</xdr:row>
      <xdr:rowOff>0</xdr:rowOff>
    </xdr:to>
    <xdr:sp>
      <xdr:nvSpPr>
        <xdr:cNvPr id="63" name="Line 61"/>
        <xdr:cNvSpPr>
          <a:spLocks/>
        </xdr:cNvSpPr>
      </xdr:nvSpPr>
      <xdr:spPr>
        <a:xfrm flipH="1">
          <a:off x="171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2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65" name="Line 63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66" name="Line 64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2</xdr:col>
      <xdr:colOff>1000125</xdr:colOff>
      <xdr:row>0</xdr:row>
      <xdr:rowOff>0</xdr:rowOff>
    </xdr:to>
    <xdr:sp>
      <xdr:nvSpPr>
        <xdr:cNvPr id="67" name="Line 65"/>
        <xdr:cNvSpPr>
          <a:spLocks/>
        </xdr:cNvSpPr>
      </xdr:nvSpPr>
      <xdr:spPr>
        <a:xfrm flipH="1">
          <a:off x="171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6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69" name="Line 67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70" name="Line 68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2</xdr:col>
      <xdr:colOff>1000125</xdr:colOff>
      <xdr:row>0</xdr:row>
      <xdr:rowOff>0</xdr:rowOff>
    </xdr:to>
    <xdr:sp>
      <xdr:nvSpPr>
        <xdr:cNvPr id="71" name="Line 69"/>
        <xdr:cNvSpPr>
          <a:spLocks/>
        </xdr:cNvSpPr>
      </xdr:nvSpPr>
      <xdr:spPr>
        <a:xfrm flipH="1">
          <a:off x="171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" name="Line 70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73" name="Line 71"/>
        <xdr:cNvSpPr>
          <a:spLocks/>
        </xdr:cNvSpPr>
      </xdr:nvSpPr>
      <xdr:spPr>
        <a:xfrm flipH="1"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74" name="Line 72"/>
        <xdr:cNvSpPr>
          <a:spLocks/>
        </xdr:cNvSpPr>
      </xdr:nvSpPr>
      <xdr:spPr>
        <a:xfrm flipH="1"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2</xdr:col>
      <xdr:colOff>1000125</xdr:colOff>
      <xdr:row>0</xdr:row>
      <xdr:rowOff>0</xdr:rowOff>
    </xdr:to>
    <xdr:sp>
      <xdr:nvSpPr>
        <xdr:cNvPr id="75" name="Line 73"/>
        <xdr:cNvSpPr>
          <a:spLocks/>
        </xdr:cNvSpPr>
      </xdr:nvSpPr>
      <xdr:spPr>
        <a:xfrm flipH="1">
          <a:off x="171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" name="Line 74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77" name="Line 75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78" name="Line 7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9" name="Line 7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0" name="Line 7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81" name="Line 79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82" name="Line 80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3" name="Line 8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4" name="Line 8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85" name="Line 83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86" name="Line 84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7" name="Line 8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8" name="Line 8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89" name="Line 87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0" name="Line 88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1" name="Line 89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92" name="Line 90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0</xdr:row>
      <xdr:rowOff>0</xdr:rowOff>
    </xdr:from>
    <xdr:to>
      <xdr:col>5</xdr:col>
      <xdr:colOff>904875</xdr:colOff>
      <xdr:row>0</xdr:row>
      <xdr:rowOff>0</xdr:rowOff>
    </xdr:to>
    <xdr:sp>
      <xdr:nvSpPr>
        <xdr:cNvPr id="93" name="Line 91"/>
        <xdr:cNvSpPr>
          <a:spLocks/>
        </xdr:cNvSpPr>
      </xdr:nvSpPr>
      <xdr:spPr>
        <a:xfrm flipH="1">
          <a:off x="682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94" name="Line 92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" name="Line 93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96" name="Line 94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" name="Line 95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98" name="Line 96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99" name="Line 97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00" name="Line 98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" name="Line 99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02" name="Line 100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103" name="Line 101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1114425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104" name="Line 102"/>
        <xdr:cNvSpPr>
          <a:spLocks/>
        </xdr:cNvSpPr>
      </xdr:nvSpPr>
      <xdr:spPr>
        <a:xfrm flipH="1">
          <a:off x="182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400050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05" name="Line 103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06" name="Line 104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107" name="Line 105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1152525</xdr:colOff>
      <xdr:row>0</xdr:row>
      <xdr:rowOff>0</xdr:rowOff>
    </xdr:from>
    <xdr:to>
      <xdr:col>2</xdr:col>
      <xdr:colOff>1152525</xdr:colOff>
      <xdr:row>0</xdr:row>
      <xdr:rowOff>0</xdr:rowOff>
    </xdr:to>
    <xdr:sp>
      <xdr:nvSpPr>
        <xdr:cNvPr id="108" name="Line 106"/>
        <xdr:cNvSpPr>
          <a:spLocks/>
        </xdr:cNvSpPr>
      </xdr:nvSpPr>
      <xdr:spPr>
        <a:xfrm flipH="1">
          <a:off x="186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" name="Line 107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10" name="Line 108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111" name="Line 109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1181100</xdr:colOff>
      <xdr:row>0</xdr:row>
      <xdr:rowOff>0</xdr:rowOff>
    </xdr:from>
    <xdr:to>
      <xdr:col>2</xdr:col>
      <xdr:colOff>1181100</xdr:colOff>
      <xdr:row>0</xdr:row>
      <xdr:rowOff>0</xdr:rowOff>
    </xdr:to>
    <xdr:sp>
      <xdr:nvSpPr>
        <xdr:cNvPr id="112" name="Line 110"/>
        <xdr:cNvSpPr>
          <a:spLocks/>
        </xdr:cNvSpPr>
      </xdr:nvSpPr>
      <xdr:spPr>
        <a:xfrm flipH="1">
          <a:off x="189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" name="Line 111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14" name="Line 112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115" name="Line 113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16" name="Line 114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7" name="Line 115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18" name="Line 116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" name="Line 117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20" name="Line 118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" name="Line 119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22" name="Line 120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" name="Line 121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0</xdr:row>
      <xdr:rowOff>0</xdr:rowOff>
    </xdr:from>
    <xdr:to>
      <xdr:col>4</xdr:col>
      <xdr:colOff>904875</xdr:colOff>
      <xdr:row>0</xdr:row>
      <xdr:rowOff>0</xdr:rowOff>
    </xdr:to>
    <xdr:sp>
      <xdr:nvSpPr>
        <xdr:cNvPr id="124" name="Line 122"/>
        <xdr:cNvSpPr>
          <a:spLocks/>
        </xdr:cNvSpPr>
      </xdr:nvSpPr>
      <xdr:spPr>
        <a:xfrm>
          <a:off x="571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25" name="Line 123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26" name="Line 124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" name="Line 125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28" name="Line 126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29" name="Line 127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30" name="Line 128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1" name="Line 129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32" name="Line 130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133" name="Line 131"/>
        <xdr:cNvSpPr>
          <a:spLocks/>
        </xdr:cNvSpPr>
      </xdr:nvSpPr>
      <xdr:spPr>
        <a:xfrm>
          <a:off x="6838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34" name="Line 132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35" name="Line 133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36" name="Line 134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37" name="Line 135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38" name="Line 136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" name="Line 137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40" name="Line 138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141" name="Line 139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42" name="Line 140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43" name="Line 141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44" name="Line 142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45" name="Line 143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46" name="Line 144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7" name="Line 145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48" name="Line 146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904875</xdr:colOff>
      <xdr:row>0</xdr:row>
      <xdr:rowOff>0</xdr:rowOff>
    </xdr:to>
    <xdr:sp>
      <xdr:nvSpPr>
        <xdr:cNvPr id="149" name="Line 147"/>
        <xdr:cNvSpPr>
          <a:spLocks/>
        </xdr:cNvSpPr>
      </xdr:nvSpPr>
      <xdr:spPr>
        <a:xfrm>
          <a:off x="68199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50" name="Line 148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51" name="Line 149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52" name="Line 150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53" name="Line 151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54" name="Line 152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55" name="Line 153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156" name="Line 154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57" name="Line 155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158" name="Line 156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59" name="Line 157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" name="Line 158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61" name="Line 159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2" name="Line 160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63" name="Line 161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4" name="Line 162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65" name="Line 163"/>
        <xdr:cNvSpPr>
          <a:spLocks/>
        </xdr:cNvSpPr>
      </xdr:nvSpPr>
      <xdr:spPr>
        <a:xfrm flipH="1"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6" name="Line 164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67" name="Line 165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168" name="Line 166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2</xdr:col>
      <xdr:colOff>1000125</xdr:colOff>
      <xdr:row>0</xdr:row>
      <xdr:rowOff>0</xdr:rowOff>
    </xdr:to>
    <xdr:sp>
      <xdr:nvSpPr>
        <xdr:cNvPr id="169" name="Line 167"/>
        <xdr:cNvSpPr>
          <a:spLocks/>
        </xdr:cNvSpPr>
      </xdr:nvSpPr>
      <xdr:spPr>
        <a:xfrm flipH="1">
          <a:off x="171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0" name="Line 168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71" name="Line 169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172" name="Line 170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3" name="Line 17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74" name="Line 17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5" name="Line 17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6" name="Line 17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177" name="Line 175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178" name="Line 176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2</xdr:col>
      <xdr:colOff>1000125</xdr:colOff>
      <xdr:row>0</xdr:row>
      <xdr:rowOff>0</xdr:rowOff>
    </xdr:to>
    <xdr:sp>
      <xdr:nvSpPr>
        <xdr:cNvPr id="179" name="Line 177"/>
        <xdr:cNvSpPr>
          <a:spLocks/>
        </xdr:cNvSpPr>
      </xdr:nvSpPr>
      <xdr:spPr>
        <a:xfrm flipH="1">
          <a:off x="171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" name="Line 178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1" name="Line 17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2" name="Line 18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3" name="Line 18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4" name="Line 18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5" name="Line 18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6" name="Line 18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7" name="Line 18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8" name="Line 18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9" name="Line 18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90" name="Line 18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1" name="Line 18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2" name="Line 19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0</xdr:row>
      <xdr:rowOff>0</xdr:rowOff>
    </xdr:from>
    <xdr:to>
      <xdr:col>4</xdr:col>
      <xdr:colOff>942975</xdr:colOff>
      <xdr:row>0</xdr:row>
      <xdr:rowOff>0</xdr:rowOff>
    </xdr:to>
    <xdr:sp>
      <xdr:nvSpPr>
        <xdr:cNvPr id="193" name="Line 191"/>
        <xdr:cNvSpPr>
          <a:spLocks/>
        </xdr:cNvSpPr>
      </xdr:nvSpPr>
      <xdr:spPr>
        <a:xfrm flipH="1">
          <a:off x="57435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0</xdr:row>
      <xdr:rowOff>0</xdr:rowOff>
    </xdr:from>
    <xdr:to>
      <xdr:col>5</xdr:col>
      <xdr:colOff>952500</xdr:colOff>
      <xdr:row>0</xdr:row>
      <xdr:rowOff>0</xdr:rowOff>
    </xdr:to>
    <xdr:sp>
      <xdr:nvSpPr>
        <xdr:cNvPr id="194" name="Line 192"/>
        <xdr:cNvSpPr>
          <a:spLocks/>
        </xdr:cNvSpPr>
      </xdr:nvSpPr>
      <xdr:spPr>
        <a:xfrm flipH="1">
          <a:off x="68675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2</xdr:col>
      <xdr:colOff>1000125</xdr:colOff>
      <xdr:row>0</xdr:row>
      <xdr:rowOff>0</xdr:rowOff>
    </xdr:to>
    <xdr:sp>
      <xdr:nvSpPr>
        <xdr:cNvPr id="195" name="Line 193"/>
        <xdr:cNvSpPr>
          <a:spLocks/>
        </xdr:cNvSpPr>
      </xdr:nvSpPr>
      <xdr:spPr>
        <a:xfrm flipH="1">
          <a:off x="171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" name="Line 194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0</xdr:row>
      <xdr:rowOff>0</xdr:rowOff>
    </xdr:from>
    <xdr:to>
      <xdr:col>5</xdr:col>
      <xdr:colOff>952500</xdr:colOff>
      <xdr:row>0</xdr:row>
      <xdr:rowOff>0</xdr:rowOff>
    </xdr:to>
    <xdr:sp>
      <xdr:nvSpPr>
        <xdr:cNvPr id="197" name="Line 195"/>
        <xdr:cNvSpPr>
          <a:spLocks/>
        </xdr:cNvSpPr>
      </xdr:nvSpPr>
      <xdr:spPr>
        <a:xfrm flipH="1">
          <a:off x="6858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0</xdr:row>
      <xdr:rowOff>0</xdr:rowOff>
    </xdr:from>
    <xdr:to>
      <xdr:col>4</xdr:col>
      <xdr:colOff>933450</xdr:colOff>
      <xdr:row>0</xdr:row>
      <xdr:rowOff>0</xdr:rowOff>
    </xdr:to>
    <xdr:sp>
      <xdr:nvSpPr>
        <xdr:cNvPr id="198" name="Line 196"/>
        <xdr:cNvSpPr>
          <a:spLocks/>
        </xdr:cNvSpPr>
      </xdr:nvSpPr>
      <xdr:spPr>
        <a:xfrm flipH="1">
          <a:off x="574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2</xdr:col>
      <xdr:colOff>1000125</xdr:colOff>
      <xdr:row>0</xdr:row>
      <xdr:rowOff>0</xdr:rowOff>
    </xdr:to>
    <xdr:sp>
      <xdr:nvSpPr>
        <xdr:cNvPr id="199" name="Line 197"/>
        <xdr:cNvSpPr>
          <a:spLocks/>
        </xdr:cNvSpPr>
      </xdr:nvSpPr>
      <xdr:spPr>
        <a:xfrm flipH="1">
          <a:off x="171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0" name="Line 198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01" name="Line 199"/>
        <xdr:cNvSpPr>
          <a:spLocks/>
        </xdr:cNvSpPr>
      </xdr:nvSpPr>
      <xdr:spPr>
        <a:xfrm flipH="1">
          <a:off x="68199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02" name="Line 200"/>
        <xdr:cNvSpPr>
          <a:spLocks/>
        </xdr:cNvSpPr>
      </xdr:nvSpPr>
      <xdr:spPr>
        <a:xfrm flipH="1"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03" name="Line 201"/>
        <xdr:cNvSpPr>
          <a:spLocks/>
        </xdr:cNvSpPr>
      </xdr:nvSpPr>
      <xdr:spPr>
        <a:xfrm flipH="1">
          <a:off x="56959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0</xdr:row>
      <xdr:rowOff>0</xdr:rowOff>
    </xdr:from>
    <xdr:to>
      <xdr:col>5</xdr:col>
      <xdr:colOff>876300</xdr:colOff>
      <xdr:row>0</xdr:row>
      <xdr:rowOff>0</xdr:rowOff>
    </xdr:to>
    <xdr:sp>
      <xdr:nvSpPr>
        <xdr:cNvPr id="204" name="Line 202"/>
        <xdr:cNvSpPr>
          <a:spLocks/>
        </xdr:cNvSpPr>
      </xdr:nvSpPr>
      <xdr:spPr>
        <a:xfrm flipH="1">
          <a:off x="680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05" name="Line 203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206" name="Line 204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2</xdr:col>
      <xdr:colOff>1000125</xdr:colOff>
      <xdr:row>0</xdr:row>
      <xdr:rowOff>0</xdr:rowOff>
    </xdr:to>
    <xdr:sp>
      <xdr:nvSpPr>
        <xdr:cNvPr id="207" name="Line 205"/>
        <xdr:cNvSpPr>
          <a:spLocks/>
        </xdr:cNvSpPr>
      </xdr:nvSpPr>
      <xdr:spPr>
        <a:xfrm flipH="1">
          <a:off x="171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" name="Line 206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09" name="Line 207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210" name="Line 208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2</xdr:col>
      <xdr:colOff>1000125</xdr:colOff>
      <xdr:row>0</xdr:row>
      <xdr:rowOff>0</xdr:rowOff>
    </xdr:to>
    <xdr:sp>
      <xdr:nvSpPr>
        <xdr:cNvPr id="211" name="Line 209"/>
        <xdr:cNvSpPr>
          <a:spLocks/>
        </xdr:cNvSpPr>
      </xdr:nvSpPr>
      <xdr:spPr>
        <a:xfrm flipH="1">
          <a:off x="171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" name="Line 210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0</xdr:row>
      <xdr:rowOff>0</xdr:rowOff>
    </xdr:from>
    <xdr:to>
      <xdr:col>5</xdr:col>
      <xdr:colOff>904875</xdr:colOff>
      <xdr:row>0</xdr:row>
      <xdr:rowOff>0</xdr:rowOff>
    </xdr:to>
    <xdr:sp>
      <xdr:nvSpPr>
        <xdr:cNvPr id="213" name="Line 211"/>
        <xdr:cNvSpPr>
          <a:spLocks/>
        </xdr:cNvSpPr>
      </xdr:nvSpPr>
      <xdr:spPr>
        <a:xfrm>
          <a:off x="682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14" name="Line 212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895350</xdr:colOff>
      <xdr:row>0</xdr:row>
      <xdr:rowOff>0</xdr:rowOff>
    </xdr:to>
    <xdr:sp>
      <xdr:nvSpPr>
        <xdr:cNvPr id="215" name="Line 213"/>
        <xdr:cNvSpPr>
          <a:spLocks/>
        </xdr:cNvSpPr>
      </xdr:nvSpPr>
      <xdr:spPr>
        <a:xfrm>
          <a:off x="681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2</xdr:col>
      <xdr:colOff>1000125</xdr:colOff>
      <xdr:row>0</xdr:row>
      <xdr:rowOff>0</xdr:rowOff>
    </xdr:to>
    <xdr:sp>
      <xdr:nvSpPr>
        <xdr:cNvPr id="216" name="Line 214"/>
        <xdr:cNvSpPr>
          <a:spLocks/>
        </xdr:cNvSpPr>
      </xdr:nvSpPr>
      <xdr:spPr>
        <a:xfrm flipH="1">
          <a:off x="171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7" name="Line 215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18" name="Line 216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2</xdr:col>
      <xdr:colOff>1000125</xdr:colOff>
      <xdr:row>0</xdr:row>
      <xdr:rowOff>0</xdr:rowOff>
    </xdr:to>
    <xdr:sp>
      <xdr:nvSpPr>
        <xdr:cNvPr id="219" name="Line 217"/>
        <xdr:cNvSpPr>
          <a:spLocks/>
        </xdr:cNvSpPr>
      </xdr:nvSpPr>
      <xdr:spPr>
        <a:xfrm flipH="1">
          <a:off x="171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0" name="Line 218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21" name="Line 219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22" name="Line 220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23" name="Line 22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24" name="Line 22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25" name="Line 22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26" name="Line 22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27" name="Line 22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28" name="Line 22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29" name="Line 22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30" name="Line 23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31" name="Line 23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32" name="Line 23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33" name="Line 23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34" name="Line 23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35" name="Line 23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36" name="Line 24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37" name="Line 24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38" name="Line 24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39" name="Line 24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40" name="Line 24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41" name="Line 24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42" name="Line 25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43" name="Line 25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44" name="Line 25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45" name="Line 25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46" name="Line 25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47" name="Line 25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48" name="Line 25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49" name="Line 25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50" name="Line 25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51" name="Line 25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52" name="Line 26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53" name="Line 26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54" name="Line 26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55" name="Line 26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56" name="Line 26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57" name="Line 26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58" name="Line 26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59" name="Line 26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60" name="Line 26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61" name="Line 26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62" name="Line 27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63" name="Line 27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264" name="Line 276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265" name="Line 277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66" name="Line 27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67" name="Line 27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268" name="Line 280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269" name="Line 281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70" name="Line 28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71" name="Line 28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272" name="Line 284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73" name="Line 285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74" name="Line 286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275" name="Line 287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76" name="Line 28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77" name="Line 28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78" name="Line 29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79" name="Line 29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80" name="Line 29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81" name="Line 29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82" name="Line 29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83" name="Line 29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84" name="Line 29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85" name="Line 29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86" name="Line 29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87" name="Line 29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88" name="Line 30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89" name="Line 30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90" name="Line 30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91" name="Line 30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92" name="Line 304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93" name="Line 305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94" name="Line 30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95" name="Line 30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96" name="Line 30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97" name="Line 30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98" name="Line 31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99" name="Line 31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300" name="Line 31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301" name="Line 31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02" name="Line 31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303" name="Line 31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304" name="Line 31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305" name="Line 317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885825</xdr:colOff>
      <xdr:row>37</xdr:row>
      <xdr:rowOff>0</xdr:rowOff>
    </xdr:from>
    <xdr:to>
      <xdr:col>5</xdr:col>
      <xdr:colOff>885825</xdr:colOff>
      <xdr:row>37</xdr:row>
      <xdr:rowOff>0</xdr:rowOff>
    </xdr:to>
    <xdr:sp>
      <xdr:nvSpPr>
        <xdr:cNvPr id="306" name="Line 318"/>
        <xdr:cNvSpPr>
          <a:spLocks/>
        </xdr:cNvSpPr>
      </xdr:nvSpPr>
      <xdr:spPr>
        <a:xfrm>
          <a:off x="68103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07" name="Line 31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08" name="Line 32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309" name="Line 32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310" name="Line 32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11" name="Line 32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12" name="Line 32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313" name="Line 32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314" name="Line 32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15" name="Line 32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16" name="Line 32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317" name="Line 32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318" name="Line 33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19" name="Line 33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20" name="Line 33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321" name="Line 333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322" name="Line 334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23" name="Line 33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24" name="Line 33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325" name="Line 337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326" name="Line 33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27" name="Line 33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28" name="Line 34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329" name="Line 341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330" name="Line 342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31" name="Line 34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32" name="Line 34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333" name="Line 345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334" name="Line 346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35" name="Line 34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36" name="Line 34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337" name="Line 349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338" name="Line 350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339" name="Line 351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340" name="Line 352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341" name="Line 35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342" name="Line 35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43" name="Line 35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44" name="Line 3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345" name="Line 35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346" name="Line 35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47" name="Line 35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48" name="Line 36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349" name="Line 36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350" name="Line 36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51" name="Line 36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52" name="Line 36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353" name="Line 36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354" name="Line 36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55" name="Line 36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56" name="Line 36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357" name="Line 369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358" name="Line 370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59" name="Line 37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60" name="Line 37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361" name="Line 37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362" name="Line 37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63" name="Line 37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64" name="Line 37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65" name="Line 37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66" name="Line 37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367" name="Line 37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368" name="Line 38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69" name="Line 38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370" name="Line 38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371" name="Line 38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372" name="Line 384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373" name="Line 385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74" name="Line 38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75" name="Line 38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76" name="Line 38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77" name="Line 38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378" name="Line 39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379" name="Line 39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80" name="Line 39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81" name="Line 39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82" name="Line 39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83" name="Line 39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384" name="Line 39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385" name="Line 39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86" name="Line 39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87" name="Line 39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88" name="Line 40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89" name="Line 40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390" name="Line 40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391" name="Line 40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92" name="Line 40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93" name="Line 40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94" name="Line 40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95" name="Line 40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396" name="Line 40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397" name="Line 40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398" name="Line 41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99" name="Line 41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400" name="Line 412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401" name="Line 41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02" name="Line 41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03" name="Line 41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404" name="Line 416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405" name="Line 417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06" name="Line 41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07" name="Line 41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408" name="Line 420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409" name="Line 421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10" name="Line 42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11" name="Line 42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412" name="Line 424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13" name="Line 425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14" name="Line 426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415" name="Line 427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16" name="Line 42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417" name="Line 42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18" name="Line 43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19" name="Line 43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20" name="Line 43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421" name="Line 43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22" name="Line 43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23" name="Line 43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24" name="Line 43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425" name="Line 43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26" name="Line 43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27" name="Line 43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28" name="Line 44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429" name="Line 44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30" name="Line 44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31" name="Line 44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32" name="Line 444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433" name="Line 445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34" name="Line 44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35" name="Line 44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36" name="Line 44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437" name="Line 44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38" name="Line 45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39" name="Line 45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40" name="Line 45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441" name="Line 45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42" name="Line 45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43" name="Line 45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444" name="Line 45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445" name="Line 457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885825</xdr:colOff>
      <xdr:row>37</xdr:row>
      <xdr:rowOff>0</xdr:rowOff>
    </xdr:from>
    <xdr:to>
      <xdr:col>5</xdr:col>
      <xdr:colOff>885825</xdr:colOff>
      <xdr:row>37</xdr:row>
      <xdr:rowOff>0</xdr:rowOff>
    </xdr:to>
    <xdr:sp>
      <xdr:nvSpPr>
        <xdr:cNvPr id="446" name="Line 458"/>
        <xdr:cNvSpPr>
          <a:spLocks/>
        </xdr:cNvSpPr>
      </xdr:nvSpPr>
      <xdr:spPr>
        <a:xfrm>
          <a:off x="68103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47" name="Line 45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48" name="Line 46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49" name="Line 46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450" name="Line 46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51" name="Line 46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52" name="Line 46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453" name="Line 465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454" name="Line 46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55" name="Line 46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56" name="Line 46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457" name="Line 469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458" name="Line 470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59" name="Line 47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60" name="Line 47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461" name="Line 473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462" name="Line 474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63" name="Line 47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64" name="Line 47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465" name="Line 477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66" name="Line 478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67" name="Line 479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468" name="Line 480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69" name="Line 48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470" name="Line 48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71" name="Line 48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72" name="Line 48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73" name="Line 48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474" name="Line 48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75" name="Line 48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76" name="Line 48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77" name="Line 48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478" name="Line 49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79" name="Line 49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80" name="Line 49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81" name="Line 49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482" name="Line 49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83" name="Line 49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84" name="Line 49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85" name="Line 497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486" name="Line 498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87" name="Line 49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88" name="Line 50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89" name="Line 50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490" name="Line 50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91" name="Line 50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92" name="Line 50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493" name="Line 50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94" name="Line 50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95" name="Line 50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496" name="Line 50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97" name="Line 50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498" name="Line 51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499" name="Line 51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500" name="Line 51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501" name="Line 51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02" name="Line 51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03" name="Line 51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04" name="Line 51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05" name="Line 51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506" name="Line 51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507" name="Line 51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08" name="Line 52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09" name="Line 52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10" name="Line 52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11" name="Line 52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512" name="Line 524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513" name="Line 525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14" name="Line 52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15" name="Line 52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16" name="Line 52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17" name="Line 52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518" name="Line 53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519" name="Line 53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20" name="Line 53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21" name="Line 53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22" name="Line 53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23" name="Line 53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524" name="Line 53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525" name="Line 53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26" name="Line 53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27" name="Line 53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528" name="Line 540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529" name="Line 541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30" name="Line 54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31" name="Line 54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532" name="Line 544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533" name="Line 545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34" name="Line 54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35" name="Line 54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536" name="Line 548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537" name="Line 549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38" name="Line 55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39" name="Line 55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540" name="Line 552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541" name="Line 553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542" name="Line 554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543" name="Line 555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544" name="Line 55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545" name="Line 55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46" name="Line 55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47" name="Line 55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548" name="Line 56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549" name="Line 56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50" name="Line 56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51" name="Line 56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552" name="Line 564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553" name="Line 565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54" name="Line 56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55" name="Line 56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556" name="Line 56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557" name="Line 56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58" name="Line 57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59" name="Line 57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560" name="Line 572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561" name="Line 573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62" name="Line 57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63" name="Line 57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564" name="Line 57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565" name="Line 57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66" name="Line 57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67" name="Line 57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568" name="Line 58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569" name="Line 58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70" name="Line 58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571" name="Line 58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572" name="Line 58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573" name="Line 585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885825</xdr:colOff>
      <xdr:row>37</xdr:row>
      <xdr:rowOff>0</xdr:rowOff>
    </xdr:from>
    <xdr:to>
      <xdr:col>5</xdr:col>
      <xdr:colOff>885825</xdr:colOff>
      <xdr:row>37</xdr:row>
      <xdr:rowOff>0</xdr:rowOff>
    </xdr:to>
    <xdr:sp>
      <xdr:nvSpPr>
        <xdr:cNvPr id="574" name="Line 586"/>
        <xdr:cNvSpPr>
          <a:spLocks/>
        </xdr:cNvSpPr>
      </xdr:nvSpPr>
      <xdr:spPr>
        <a:xfrm>
          <a:off x="68103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75" name="Line 58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76" name="Line 58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577" name="Line 58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578" name="Line 59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79" name="Line 59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80" name="Line 59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581" name="Line 593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582" name="Line 59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83" name="Line 59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84" name="Line 59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585" name="Line 597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586" name="Line 598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87" name="Line 59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88" name="Line 60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589" name="Line 601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590" name="Line 602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91" name="Line 60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92" name="Line 60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593" name="Line 605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594" name="Line 606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595" name="Line 607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596" name="Line 608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597" name="Line 60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598" name="Line 61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599" name="Line 61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00" name="Line 61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01" name="Line 61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02" name="Line 61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03" name="Line 61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04" name="Line 61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05" name="Line 61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06" name="Line 61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07" name="Line 61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08" name="Line 62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09" name="Line 62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10" name="Line 62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11" name="Line 62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12" name="Line 62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13" name="Line 625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14" name="Line 626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15" name="Line 62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16" name="Line 62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17" name="Line 62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18" name="Line 63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19" name="Line 63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20" name="Line 63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21" name="Line 63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22" name="Line 63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23" name="Line 63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24" name="Line 63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25" name="Line 63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26" name="Line 63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27" name="Line 63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28" name="Line 64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29" name="Line 64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30" name="Line 64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31" name="Line 64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32" name="Line 64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33" name="Line 64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34" name="Line 64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35" name="Line 64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36" name="Line 64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37" name="Line 64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38" name="Line 65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39" name="Line 65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40" name="Line 65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41" name="Line 65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42" name="Line 654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43" name="Line 655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44" name="Line 65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45" name="Line 65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46" name="Line 65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47" name="Line 65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48" name="Line 66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49" name="Line 66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50" name="Line 66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51" name="Line 66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52" name="Line 66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53" name="Line 66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54" name="Line 66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55" name="Line 66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56" name="Line 66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57" name="Line 66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58" name="Line 67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59" name="Line 67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60" name="Line 67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61" name="Line 67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662" name="Line 674"/>
        <xdr:cNvSpPr>
          <a:spLocks/>
        </xdr:cNvSpPr>
      </xdr:nvSpPr>
      <xdr:spPr>
        <a:xfrm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914400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663" name="Line 675"/>
        <xdr:cNvSpPr>
          <a:spLocks/>
        </xdr:cNvSpPr>
      </xdr:nvSpPr>
      <xdr:spPr>
        <a:xfrm>
          <a:off x="6838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64" name="Line 67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65" name="Line 67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666" name="Line 678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67" name="Line 67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68" name="Line 68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69" name="Line 68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670" name="Line 682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671" name="Line 683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72" name="Line 68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73" name="Line 68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674" name="Line 686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675" name="Line 687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76" name="Line 68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77" name="Line 68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678" name="Line 690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79" name="Line 691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80" name="Line 692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681" name="Line 693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82" name="Line 694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83" name="Line 695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84" name="Line 69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85" name="Line 69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86" name="Line 69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87" name="Line 69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88" name="Line 70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89" name="Line 70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90" name="Line 70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91" name="Line 70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92" name="Line 70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93" name="Line 70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94" name="Line 70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95" name="Line 70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696" name="Line 70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97" name="Line 70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698" name="Line 710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699" name="Line 711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00" name="Line 71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01" name="Line 71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02" name="Line 714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703" name="Line 715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04" name="Line 71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05" name="Line 71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06" name="Line 71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07" name="Line 71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08" name="Line 72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709" name="Line 72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10" name="Line 72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11" name="Line 72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712" name="Line 72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13" name="Line 72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714" name="Line 72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15" name="Line 72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16" name="Line 72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17" name="Line 72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18" name="Line 73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19" name="Line 73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720" name="Line 73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21" name="Line 73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22" name="Line 73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23" name="Line 73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24" name="Line 73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25" name="Line 73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726" name="Line 73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27" name="Line 73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28" name="Line 74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29" name="Line 74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30" name="Line 74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31" name="Line 74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732" name="Line 74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33" name="Line 74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34" name="Line 74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35" name="Line 74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36" name="Line 74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37" name="Line 74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738" name="Line 75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39" name="Line 75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40" name="Line 75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741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742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43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744" name="Line 757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745" name="Line 758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46" name="Line 75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47" name="Line 76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748" name="Line 761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749" name="Line 762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50" name="Line 76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51" name="Line 76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752" name="Line 765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53" name="Line 766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54" name="Line 767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755" name="Line 768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56" name="Line 76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757" name="Line 77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58" name="Line 77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59" name="Line 77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60" name="Line 77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761" name="Line 77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62" name="Line 77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63" name="Line 77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64" name="Line 77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765" name="Line 77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66" name="Line 77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67" name="Line 78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68" name="Line 78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769" name="Line 78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70" name="Line 78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71" name="Line 78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72" name="Line 785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773" name="Line 786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74" name="Line 78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75" name="Line 78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76" name="Line 78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777" name="Line 79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78" name="Line 79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79" name="Line 79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80" name="Line 79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781" name="Line 79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82" name="Line 79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83" name="Line 79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784" name="Line 79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785" name="Line 798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885825</xdr:colOff>
      <xdr:row>37</xdr:row>
      <xdr:rowOff>0</xdr:rowOff>
    </xdr:from>
    <xdr:to>
      <xdr:col>5</xdr:col>
      <xdr:colOff>885825</xdr:colOff>
      <xdr:row>37</xdr:row>
      <xdr:rowOff>0</xdr:rowOff>
    </xdr:to>
    <xdr:sp>
      <xdr:nvSpPr>
        <xdr:cNvPr id="786" name="Line 799"/>
        <xdr:cNvSpPr>
          <a:spLocks/>
        </xdr:cNvSpPr>
      </xdr:nvSpPr>
      <xdr:spPr>
        <a:xfrm>
          <a:off x="68103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87" name="Line 80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88" name="Line 80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89" name="Line 80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790" name="Line 80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91" name="Line 80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92" name="Line 80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93" name="Line 80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794" name="Line 80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95" name="Line 80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796" name="Line 80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797" name="Line 81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798" name="Line 81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799" name="Line 81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00" name="Line 81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801" name="Line 814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802" name="Line 815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03" name="Line 81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04" name="Line 81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805" name="Line 818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806" name="Line 81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07" name="Line 82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08" name="Line 82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809" name="Line 822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810" name="Line 823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11" name="Line 82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12" name="Line 82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813" name="Line 826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814" name="Line 827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15" name="Line 82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16" name="Line 82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817" name="Line 830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818" name="Line 831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819" name="Line 832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820" name="Line 833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821" name="Line 834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822" name="Line 835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23" name="Line 83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24" name="Line 83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825" name="Line 83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826" name="Line 83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27" name="Line 84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28" name="Line 84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829" name="Line 84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830" name="Line 84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31" name="Line 84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32" name="Line 84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833" name="Line 84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834" name="Line 84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35" name="Line 84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36" name="Line 84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837" name="Line 850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838" name="Line 851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39" name="Line 85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40" name="Line 85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841" name="Line 854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842" name="Line 855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43" name="Line 85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44" name="Line 85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45" name="Line 85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46" name="Line 85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847" name="Line 86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848" name="Line 86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49" name="Line 86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850" name="Line 86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851" name="Line 86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852" name="Line 86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853" name="Line 86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54" name="Line 86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55" name="Line 86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56" name="Line 86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57" name="Line 87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858" name="Line 87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859" name="Line 87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60" name="Line 87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61" name="Line 87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62" name="Line 87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63" name="Line 87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864" name="Line 87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865" name="Line 87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66" name="Line 87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67" name="Line 88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68" name="Line 88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69" name="Line 88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870" name="Line 88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871" name="Line 88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72" name="Line 88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73" name="Line 88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74" name="Line 88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75" name="Line 88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876" name="Line 88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877" name="Line 89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78" name="Line 89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79" name="Line 89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880" name="Line 893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881" name="Line 89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82" name="Line 89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83" name="Line 89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884" name="Line 897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885" name="Line 898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86" name="Line 89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87" name="Line 90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888" name="Line 901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889" name="Line 902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90" name="Line 90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91" name="Line 90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892" name="Line 905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893" name="Line 906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894" name="Line 907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895" name="Line 908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896" name="Line 90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897" name="Line 91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898" name="Line 91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99" name="Line 91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00" name="Line 91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01" name="Line 91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02" name="Line 91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03" name="Line 91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04" name="Line 91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05" name="Line 91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06" name="Line 91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07" name="Line 92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08" name="Line 92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09" name="Line 92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10" name="Line 92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11" name="Line 92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12" name="Line 925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13" name="Line 926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14" name="Line 92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15" name="Line 92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16" name="Line 92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17" name="Line 93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18" name="Line 93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19" name="Line 93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20" name="Line 93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21" name="Line 93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22" name="Line 93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23" name="Line 93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24" name="Line 93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925" name="Line 938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885825</xdr:colOff>
      <xdr:row>37</xdr:row>
      <xdr:rowOff>0</xdr:rowOff>
    </xdr:from>
    <xdr:to>
      <xdr:col>5</xdr:col>
      <xdr:colOff>885825</xdr:colOff>
      <xdr:row>37</xdr:row>
      <xdr:rowOff>0</xdr:rowOff>
    </xdr:to>
    <xdr:sp>
      <xdr:nvSpPr>
        <xdr:cNvPr id="926" name="Line 939"/>
        <xdr:cNvSpPr>
          <a:spLocks/>
        </xdr:cNvSpPr>
      </xdr:nvSpPr>
      <xdr:spPr>
        <a:xfrm>
          <a:off x="68103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27" name="Line 94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28" name="Line 94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29" name="Line 94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30" name="Line 94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31" name="Line 94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32" name="Line 94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933" name="Line 946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34" name="Line 94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35" name="Line 94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36" name="Line 94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937" name="Line 950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938" name="Line 951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39" name="Line 95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40" name="Line 95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941" name="Line 954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942" name="Line 955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43" name="Line 95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44" name="Line 95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945" name="Line 958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46" name="Line 959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47" name="Line 960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948" name="Line 961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49" name="Line 96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50" name="Line 96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51" name="Line 96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52" name="Line 96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53" name="Line 96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54" name="Line 96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55" name="Line 96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56" name="Line 96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57" name="Line 97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58" name="Line 97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59" name="Line 97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60" name="Line 97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61" name="Line 974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62" name="Line 975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63" name="Line 97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64" name="Line 97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65" name="Line 978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66" name="Line 979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67" name="Line 98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68" name="Line 98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69" name="Line 98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70" name="Line 98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71" name="Line 98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72" name="Line 98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73" name="Line 98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74" name="Line 98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75" name="Line 98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76" name="Line 98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77" name="Line 99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78" name="Line 99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79" name="Line 99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80" name="Line 99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81" name="Line 99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82" name="Line 99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83" name="Line 99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84" name="Line 99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85" name="Line 99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86" name="Line 99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87" name="Line 100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88" name="Line 100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89" name="Line 100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90" name="Line 100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91" name="Line 100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92" name="Line 100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93" name="Line 100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94" name="Line 100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95" name="Line 100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996" name="Line 100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997" name="Line 101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998" name="Line 101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999" name="Line 101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00" name="Line 101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01" name="Line 101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02" name="Line 101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03" name="Line 101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004" name="Line 101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005" name="Line 101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06" name="Line 101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07" name="Line 102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008" name="Line 1021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009" name="Line 1022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10" name="Line 102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11" name="Line 102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1012" name="Line 1025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013" name="Line 1026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14" name="Line 102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15" name="Line 102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016" name="Line 1029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1017" name="Line 1030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18" name="Line 103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19" name="Line 103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1020" name="Line 1033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021" name="Line 1034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022" name="Line 1035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1023" name="Line 1036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024" name="Line 103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025" name="Line 103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26" name="Line 103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27" name="Line 104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028" name="Line 104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029" name="Line 104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30" name="Line 104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31" name="Line 104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032" name="Line 104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033" name="Line 104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34" name="Line 104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35" name="Line 104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036" name="Line 104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037" name="Line 105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38" name="Line 105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39" name="Line 105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040" name="Line 1053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041" name="Line 1054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42" name="Line 105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43" name="Line 10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044" name="Line 105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045" name="Line 105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46" name="Line 105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47" name="Line 106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048" name="Line 106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049" name="Line 106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50" name="Line 106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051" name="Line 1064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052" name="Line 1065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053" name="Line 1066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885825</xdr:colOff>
      <xdr:row>37</xdr:row>
      <xdr:rowOff>0</xdr:rowOff>
    </xdr:from>
    <xdr:to>
      <xdr:col>5</xdr:col>
      <xdr:colOff>885825</xdr:colOff>
      <xdr:row>37</xdr:row>
      <xdr:rowOff>0</xdr:rowOff>
    </xdr:to>
    <xdr:sp>
      <xdr:nvSpPr>
        <xdr:cNvPr id="1054" name="Line 1067"/>
        <xdr:cNvSpPr>
          <a:spLocks/>
        </xdr:cNvSpPr>
      </xdr:nvSpPr>
      <xdr:spPr>
        <a:xfrm>
          <a:off x="68103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55" name="Line 106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56" name="Line 106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057" name="Line 107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058" name="Line 107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59" name="Line 107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60" name="Line 107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061" name="Line 1074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062" name="Line 1075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63" name="Line 107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64" name="Line 107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1065" name="Line 1078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066" name="Line 1079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67" name="Line 108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68" name="Line 108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069" name="Line 1082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1070" name="Line 1083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71" name="Line 108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72" name="Line 108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1073" name="Line 1086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074" name="Line 1087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075" name="Line 1088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1076" name="Line 1089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077" name="Line 109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078" name="Line 109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79" name="Line 109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80" name="Line 109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081" name="Line 1094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082" name="Line 1095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83" name="Line 109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84" name="Line 109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085" name="Line 109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086" name="Line 109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87" name="Line 110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88" name="Line 110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089" name="Line 110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090" name="Line 110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91" name="Line 110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92" name="Line 110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093" name="Line 1106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094" name="Line 1107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95" name="Line 110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096" name="Line 110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097" name="Line 111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098" name="Line 111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099" name="Line 111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00" name="Line 111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01" name="Line 1114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02" name="Line 1115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03" name="Line 111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04" name="Line 111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05" name="Line 111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06" name="Line 111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07" name="Line 112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08" name="Line 112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09" name="Line 112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10" name="Line 112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11" name="Line 112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12" name="Line 112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13" name="Line 112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14" name="Line 112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15" name="Line 113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16" name="Line 113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17" name="Line 113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18" name="Line 113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19" name="Line 113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20" name="Line 113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21" name="Line 113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22" name="Line 113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23" name="Line 113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923925</xdr:colOff>
      <xdr:row>37</xdr:row>
      <xdr:rowOff>0</xdr:rowOff>
    </xdr:from>
    <xdr:to>
      <xdr:col>4</xdr:col>
      <xdr:colOff>923925</xdr:colOff>
      <xdr:row>37</xdr:row>
      <xdr:rowOff>0</xdr:rowOff>
    </xdr:to>
    <xdr:sp>
      <xdr:nvSpPr>
        <xdr:cNvPr id="1124" name="Line 753"/>
        <xdr:cNvSpPr>
          <a:spLocks/>
        </xdr:cNvSpPr>
      </xdr:nvSpPr>
      <xdr:spPr>
        <a:xfrm>
          <a:off x="5734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1125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26" name="Line 113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27" name="Line 113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28" name="Line 113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29" name="Line 113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30" name="Line 113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31" name="Line 113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32" name="Line 113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33" name="Line 113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34" name="Line 113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35" name="Line 113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36" name="Line 113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37" name="Line 113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38" name="Line 113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39" name="Line 113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40" name="Line 113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41" name="Line 113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42" name="Line 113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43" name="Line 113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44" name="Line 113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45" name="Line 113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46" name="Line 113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47" name="Line 113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48" name="Line 113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49" name="Line 113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150" name="Line 75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51" name="Line 7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52" name="Line 7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53" name="Line 7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1154" name="Line 79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155" name="Line 80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56" name="Line 8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57" name="Line 8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158" name="Line 83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1159" name="Line 84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60" name="Line 8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61" name="Line 8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1162" name="Line 87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63" name="Line 88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64" name="Line 89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1165" name="Line 90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66" name="Line 17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67" name="Line 17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68" name="Line 17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69" name="Line 17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70" name="Line 17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71" name="Line 18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72" name="Line 18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73" name="Line 18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74" name="Line 18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75" name="Line 18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76" name="Line 18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77" name="Line 18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78" name="Line 18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79" name="Line 18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80" name="Line 18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81" name="Line 19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82" name="Line 219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83" name="Line 220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84" name="Line 22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85" name="Line 22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86" name="Line 22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87" name="Line 22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88" name="Line 22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89" name="Line 22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90" name="Line 22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91" name="Line 23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92" name="Line 23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93" name="Line 23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94" name="Line 23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95" name="Line 23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96" name="Line 23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197" name="Line 24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198" name="Line 24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199" name="Line 24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00" name="Line 24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01" name="Line 24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02" name="Line 24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203" name="Line 25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204" name="Line 25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05" name="Line 25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06" name="Line 25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07" name="Line 25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08" name="Line 25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209" name="Line 25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210" name="Line 25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11" name="Line 25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12" name="Line 25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13" name="Line 26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14" name="Line 26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215" name="Line 26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216" name="Line 26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17" name="Line 26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18" name="Line 26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19" name="Line 26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20" name="Line 26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221" name="Line 26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222" name="Line 26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23" name="Line 27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24" name="Line 27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1225" name="Line 276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226" name="Line 277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27" name="Line 27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28" name="Line 27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229" name="Line 280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1230" name="Line 281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31" name="Line 28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32" name="Line 28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1233" name="Line 284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234" name="Line 285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235" name="Line 286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1236" name="Line 287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237" name="Line 28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238" name="Line 28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39" name="Line 29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40" name="Line 29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241" name="Line 29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242" name="Line 29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43" name="Line 29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44" name="Line 29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245" name="Line 29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246" name="Line 29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47" name="Line 29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48" name="Line 29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249" name="Line 30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250" name="Line 30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51" name="Line 30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52" name="Line 30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253" name="Line 304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254" name="Line 305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55" name="Line 30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56" name="Line 30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257" name="Line 30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258" name="Line 30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59" name="Line 31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60" name="Line 31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261" name="Line 31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262" name="Line 31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63" name="Line 31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264" name="Line 31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265" name="Line 31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266" name="Line 317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885825</xdr:colOff>
      <xdr:row>37</xdr:row>
      <xdr:rowOff>0</xdr:rowOff>
    </xdr:from>
    <xdr:to>
      <xdr:col>5</xdr:col>
      <xdr:colOff>885825</xdr:colOff>
      <xdr:row>37</xdr:row>
      <xdr:rowOff>0</xdr:rowOff>
    </xdr:to>
    <xdr:sp>
      <xdr:nvSpPr>
        <xdr:cNvPr id="1267" name="Line 318"/>
        <xdr:cNvSpPr>
          <a:spLocks/>
        </xdr:cNvSpPr>
      </xdr:nvSpPr>
      <xdr:spPr>
        <a:xfrm>
          <a:off x="68103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68" name="Line 31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69" name="Line 32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270" name="Line 32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271" name="Line 32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72" name="Line 32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73" name="Line 32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274" name="Line 32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275" name="Line 32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76" name="Line 32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77" name="Line 32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278" name="Line 32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279" name="Line 33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80" name="Line 33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81" name="Line 33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282" name="Line 333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283" name="Line 334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84" name="Line 33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85" name="Line 33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286" name="Line 337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287" name="Line 33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88" name="Line 33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89" name="Line 34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1290" name="Line 341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291" name="Line 342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92" name="Line 34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93" name="Line 34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294" name="Line 345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1295" name="Line 346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296" name="Line 34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297" name="Line 34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1298" name="Line 349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299" name="Line 350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00" name="Line 351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1301" name="Line 352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02" name="Line 35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303" name="Line 35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04" name="Line 35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05" name="Line 3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06" name="Line 35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307" name="Line 35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08" name="Line 35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09" name="Line 36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10" name="Line 36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311" name="Line 36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12" name="Line 36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13" name="Line 36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14" name="Line 36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315" name="Line 36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16" name="Line 36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17" name="Line 36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18" name="Line 369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319" name="Line 370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20" name="Line 37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21" name="Line 37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22" name="Line 37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323" name="Line 37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24" name="Line 37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25" name="Line 37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26" name="Line 37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27" name="Line 37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28" name="Line 37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329" name="Line 38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30" name="Line 38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31" name="Line 38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332" name="Line 38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33" name="Line 384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334" name="Line 385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35" name="Line 38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36" name="Line 38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37" name="Line 38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38" name="Line 38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39" name="Line 39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340" name="Line 39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41" name="Line 39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42" name="Line 39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43" name="Line 39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44" name="Line 39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45" name="Line 39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346" name="Line 39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47" name="Line 39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48" name="Line 39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49" name="Line 40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50" name="Line 40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51" name="Line 40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352" name="Line 40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53" name="Line 40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54" name="Line 40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55" name="Line 40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56" name="Line 40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57" name="Line 40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358" name="Line 40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59" name="Line 41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60" name="Line 41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361" name="Line 412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362" name="Line 41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63" name="Line 41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64" name="Line 41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1365" name="Line 416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366" name="Line 417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67" name="Line 41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68" name="Line 41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369" name="Line 420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1370" name="Line 421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71" name="Line 42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72" name="Line 42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1373" name="Line 424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74" name="Line 425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75" name="Line 426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1376" name="Line 427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77" name="Line 42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378" name="Line 42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79" name="Line 43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80" name="Line 43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81" name="Line 43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382" name="Line 43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83" name="Line 43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84" name="Line 43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85" name="Line 43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386" name="Line 43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87" name="Line 43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88" name="Line 43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89" name="Line 44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390" name="Line 44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91" name="Line 44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92" name="Line 44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93" name="Line 444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394" name="Line 445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95" name="Line 44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396" name="Line 44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397" name="Line 44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398" name="Line 44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399" name="Line 45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00" name="Line 45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401" name="Line 45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402" name="Line 45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03" name="Line 45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404" name="Line 45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405" name="Line 45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406" name="Line 457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885825</xdr:colOff>
      <xdr:row>37</xdr:row>
      <xdr:rowOff>0</xdr:rowOff>
    </xdr:from>
    <xdr:to>
      <xdr:col>5</xdr:col>
      <xdr:colOff>885825</xdr:colOff>
      <xdr:row>37</xdr:row>
      <xdr:rowOff>0</xdr:rowOff>
    </xdr:to>
    <xdr:sp>
      <xdr:nvSpPr>
        <xdr:cNvPr id="1407" name="Line 458"/>
        <xdr:cNvSpPr>
          <a:spLocks/>
        </xdr:cNvSpPr>
      </xdr:nvSpPr>
      <xdr:spPr>
        <a:xfrm>
          <a:off x="68103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08" name="Line 45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09" name="Line 46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410" name="Line 46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411" name="Line 46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12" name="Line 46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13" name="Line 46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414" name="Line 465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415" name="Line 46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16" name="Line 46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17" name="Line 46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1418" name="Line 469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419" name="Line 470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20" name="Line 47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21" name="Line 47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422" name="Line 473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1423" name="Line 474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24" name="Line 47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25" name="Line 47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1426" name="Line 477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427" name="Line 478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428" name="Line 479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1429" name="Line 480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430" name="Line 48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431" name="Line 48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32" name="Line 48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33" name="Line 48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434" name="Line 48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435" name="Line 48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36" name="Line 48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37" name="Line 48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438" name="Line 48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439" name="Line 49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40" name="Line 49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41" name="Line 49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442" name="Line 49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443" name="Line 49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44" name="Line 49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45" name="Line 49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446" name="Line 497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447" name="Line 498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48" name="Line 49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49" name="Line 50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450" name="Line 50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451" name="Line 50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52" name="Line 50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53" name="Line 50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54" name="Line 50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55" name="Line 50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456" name="Line 50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457" name="Line 50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58" name="Line 50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459" name="Line 51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460" name="Line 51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461" name="Line 51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462" name="Line 51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63" name="Line 51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64" name="Line 51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65" name="Line 51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66" name="Line 51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467" name="Line 51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468" name="Line 51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69" name="Line 52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70" name="Line 52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71" name="Line 52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72" name="Line 52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473" name="Line 524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474" name="Line 525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75" name="Line 52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76" name="Line 52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77" name="Line 52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78" name="Line 52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479" name="Line 53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480" name="Line 53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81" name="Line 53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82" name="Line 53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83" name="Line 53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84" name="Line 53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485" name="Line 53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486" name="Line 53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87" name="Line 53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88" name="Line 53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489" name="Line 540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490" name="Line 541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91" name="Line 54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92" name="Line 54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1493" name="Line 544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494" name="Line 545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95" name="Line 54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496" name="Line 54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497" name="Line 548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1498" name="Line 549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499" name="Line 55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00" name="Line 55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1501" name="Line 552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02" name="Line 553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03" name="Line 554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1504" name="Line 555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05" name="Line 55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506" name="Line 55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507" name="Line 55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08" name="Line 55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09" name="Line 56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510" name="Line 56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511" name="Line 56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12" name="Line 56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13" name="Line 564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514" name="Line 565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515" name="Line 56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16" name="Line 56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17" name="Line 56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518" name="Line 56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519" name="Line 57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20" name="Line 57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21" name="Line 572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522" name="Line 573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523" name="Line 57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24" name="Line 57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25" name="Line 57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526" name="Line 57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527" name="Line 57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28" name="Line 57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29" name="Line 58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530" name="Line 58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31" name="Line 58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32" name="Line 58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533" name="Line 58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534" name="Line 585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885825</xdr:colOff>
      <xdr:row>37</xdr:row>
      <xdr:rowOff>0</xdr:rowOff>
    </xdr:from>
    <xdr:to>
      <xdr:col>5</xdr:col>
      <xdr:colOff>885825</xdr:colOff>
      <xdr:row>37</xdr:row>
      <xdr:rowOff>0</xdr:rowOff>
    </xdr:to>
    <xdr:sp>
      <xdr:nvSpPr>
        <xdr:cNvPr id="1535" name="Line 586"/>
        <xdr:cNvSpPr>
          <a:spLocks/>
        </xdr:cNvSpPr>
      </xdr:nvSpPr>
      <xdr:spPr>
        <a:xfrm>
          <a:off x="68103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536" name="Line 58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37" name="Line 58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38" name="Line 58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539" name="Line 59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540" name="Line 59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41" name="Line 59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542" name="Line 593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543" name="Line 59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544" name="Line 59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45" name="Line 59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1546" name="Line 597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547" name="Line 598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548" name="Line 59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49" name="Line 60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550" name="Line 601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1551" name="Line 602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552" name="Line 60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53" name="Line 60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1554" name="Line 605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55" name="Line 606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56" name="Line 607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1557" name="Line 608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58" name="Line 60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559" name="Line 61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560" name="Line 61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61" name="Line 61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62" name="Line 61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563" name="Line 61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564" name="Line 61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65" name="Line 61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66" name="Line 61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567" name="Line 61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568" name="Line 61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69" name="Line 62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70" name="Line 62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571" name="Line 62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572" name="Line 62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73" name="Line 62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74" name="Line 625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575" name="Line 626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576" name="Line 62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77" name="Line 62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78" name="Line 62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579" name="Line 63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580" name="Line 63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81" name="Line 63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82" name="Line 63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583" name="Line 63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84" name="Line 63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85" name="Line 63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586" name="Line 63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87" name="Line 63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588" name="Line 63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589" name="Line 64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90" name="Line 64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591" name="Line 112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92" name="Line 113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1593" name="Line 753"/>
        <xdr:cNvSpPr>
          <a:spLocks/>
        </xdr:cNvSpPr>
      </xdr:nvSpPr>
      <xdr:spPr>
        <a:xfrm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914400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1594" name="Line 754"/>
        <xdr:cNvSpPr>
          <a:spLocks/>
        </xdr:cNvSpPr>
      </xdr:nvSpPr>
      <xdr:spPr>
        <a:xfrm>
          <a:off x="6838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95" name="Line 113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596" name="Line 113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597" name="Line 113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598" name="Line 113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599" name="Line 113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00" name="Line 113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01" name="Line 113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02" name="Line 113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03" name="Line 113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04" name="Line 113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05" name="Line 113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06" name="Line 113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07" name="Line 113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08" name="Line 113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09" name="Line 113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10" name="Line 113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11" name="Line 113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12" name="Line 113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13" name="Line 113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14" name="Line 113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15" name="Line 113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16" name="Line 113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17" name="Line 113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18" name="Line 113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19" name="Line 113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20" name="Line 113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21" name="Line 113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22" name="Line 113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23" name="Line 113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24" name="Line 113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25" name="Line 113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26" name="Line 113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27" name="Line 113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28" name="Line 113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29" name="Line 113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30" name="Line 113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31" name="Line 113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32" name="Line 113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33" name="Line 113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34" name="Line 113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4</xdr:row>
      <xdr:rowOff>38100</xdr:rowOff>
    </xdr:from>
    <xdr:to>
      <xdr:col>4</xdr:col>
      <xdr:colOff>876300</xdr:colOff>
      <xdr:row>29</xdr:row>
      <xdr:rowOff>0</xdr:rowOff>
    </xdr:to>
    <xdr:sp>
      <xdr:nvSpPr>
        <xdr:cNvPr id="1635" name="Line 753"/>
        <xdr:cNvSpPr>
          <a:spLocks/>
        </xdr:cNvSpPr>
      </xdr:nvSpPr>
      <xdr:spPr>
        <a:xfrm>
          <a:off x="5686425" y="1295400"/>
          <a:ext cx="0" cy="7105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4</xdr:row>
      <xdr:rowOff>28575</xdr:rowOff>
    </xdr:from>
    <xdr:to>
      <xdr:col>5</xdr:col>
      <xdr:colOff>876300</xdr:colOff>
      <xdr:row>29</xdr:row>
      <xdr:rowOff>0</xdr:rowOff>
    </xdr:to>
    <xdr:sp>
      <xdr:nvSpPr>
        <xdr:cNvPr id="1636" name="Line 754"/>
        <xdr:cNvSpPr>
          <a:spLocks/>
        </xdr:cNvSpPr>
      </xdr:nvSpPr>
      <xdr:spPr>
        <a:xfrm>
          <a:off x="6800850" y="1285875"/>
          <a:ext cx="0" cy="711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266700</xdr:colOff>
      <xdr:row>37</xdr:row>
      <xdr:rowOff>0</xdr:rowOff>
    </xdr:from>
    <xdr:to>
      <xdr:col>7</xdr:col>
      <xdr:colOff>266700</xdr:colOff>
      <xdr:row>37</xdr:row>
      <xdr:rowOff>0</xdr:rowOff>
    </xdr:to>
    <xdr:sp>
      <xdr:nvSpPr>
        <xdr:cNvPr id="1637" name="Line 755"/>
        <xdr:cNvSpPr>
          <a:spLocks/>
        </xdr:cNvSpPr>
      </xdr:nvSpPr>
      <xdr:spPr>
        <a:xfrm flipH="1">
          <a:off x="83058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9525</xdr:rowOff>
    </xdr:from>
    <xdr:to>
      <xdr:col>4</xdr:col>
      <xdr:colOff>0</xdr:colOff>
      <xdr:row>37</xdr:row>
      <xdr:rowOff>0</xdr:rowOff>
    </xdr:to>
    <xdr:sp>
      <xdr:nvSpPr>
        <xdr:cNvPr id="1638" name="Line 756"/>
        <xdr:cNvSpPr>
          <a:spLocks/>
        </xdr:cNvSpPr>
      </xdr:nvSpPr>
      <xdr:spPr>
        <a:xfrm>
          <a:off x="4810125" y="927735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639" name="Line 75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40" name="Line 7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41" name="Line 7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42" name="Line 7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1643" name="Line 79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644" name="Line 80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45" name="Line 8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46" name="Line 8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647" name="Line 83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1648" name="Line 84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49" name="Line 8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50" name="Line 8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1651" name="Line 87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52" name="Line 88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53" name="Line 89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1654" name="Line 90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55" name="Line 17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56" name="Line 17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57" name="Line 17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58" name="Line 17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59" name="Line 17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60" name="Line 18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61" name="Line 18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62" name="Line 18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63" name="Line 18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64" name="Line 18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65" name="Line 18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66" name="Line 18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67" name="Line 18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68" name="Line 18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69" name="Line 18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70" name="Line 19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71" name="Line 219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72" name="Line 220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73" name="Line 22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74" name="Line 22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75" name="Line 22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76" name="Line 22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77" name="Line 22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78" name="Line 22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79" name="Line 22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80" name="Line 23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81" name="Line 23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82" name="Line 23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83" name="Line 23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84" name="Line 23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85" name="Line 23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86" name="Line 24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87" name="Line 24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88" name="Line 24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89" name="Line 24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90" name="Line 24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91" name="Line 24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92" name="Line 25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93" name="Line 25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94" name="Line 25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95" name="Line 25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696" name="Line 25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697" name="Line 25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698" name="Line 25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699" name="Line 25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00" name="Line 25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01" name="Line 25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02" name="Line 26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03" name="Line 26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04" name="Line 26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705" name="Line 26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06" name="Line 26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07" name="Line 26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08" name="Line 26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09" name="Line 26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10" name="Line 26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711" name="Line 26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12" name="Line 27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13" name="Line 27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1714" name="Line 276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715" name="Line 277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16" name="Line 27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17" name="Line 27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718" name="Line 280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1719" name="Line 281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20" name="Line 28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21" name="Line 28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1722" name="Line 284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23" name="Line 285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24" name="Line 286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1725" name="Line 287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26" name="Line 28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727" name="Line 28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28" name="Line 29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29" name="Line 29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30" name="Line 29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731" name="Line 29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32" name="Line 29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33" name="Line 29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34" name="Line 29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735" name="Line 29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36" name="Line 29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37" name="Line 29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38" name="Line 30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739" name="Line 30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40" name="Line 30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41" name="Line 30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42" name="Line 304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743" name="Line 305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44" name="Line 30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45" name="Line 30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46" name="Line 30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747" name="Line 30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48" name="Line 31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49" name="Line 31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50" name="Line 31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751" name="Line 31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52" name="Line 31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53" name="Line 31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754" name="Line 31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755" name="Line 317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885825</xdr:colOff>
      <xdr:row>37</xdr:row>
      <xdr:rowOff>0</xdr:rowOff>
    </xdr:from>
    <xdr:to>
      <xdr:col>5</xdr:col>
      <xdr:colOff>885825</xdr:colOff>
      <xdr:row>37</xdr:row>
      <xdr:rowOff>0</xdr:rowOff>
    </xdr:to>
    <xdr:sp>
      <xdr:nvSpPr>
        <xdr:cNvPr id="1756" name="Line 318"/>
        <xdr:cNvSpPr>
          <a:spLocks/>
        </xdr:cNvSpPr>
      </xdr:nvSpPr>
      <xdr:spPr>
        <a:xfrm>
          <a:off x="68103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57" name="Line 31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58" name="Line 32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59" name="Line 32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760" name="Line 32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61" name="Line 32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62" name="Line 32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63" name="Line 32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764" name="Line 32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65" name="Line 32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66" name="Line 32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67" name="Line 32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768" name="Line 33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69" name="Line 33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70" name="Line 33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771" name="Line 333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772" name="Line 334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73" name="Line 33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74" name="Line 33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775" name="Line 337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776" name="Line 33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77" name="Line 33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78" name="Line 34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1779" name="Line 341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780" name="Line 342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81" name="Line 34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82" name="Line 34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783" name="Line 345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1784" name="Line 346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85" name="Line 34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86" name="Line 34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1787" name="Line 349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88" name="Line 350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89" name="Line 351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1790" name="Line 352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91" name="Line 35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792" name="Line 35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93" name="Line 35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94" name="Line 3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95" name="Line 35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796" name="Line 35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797" name="Line 35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798" name="Line 36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799" name="Line 36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00" name="Line 36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01" name="Line 36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02" name="Line 36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03" name="Line 36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04" name="Line 36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05" name="Line 36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06" name="Line 36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07" name="Line 369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08" name="Line 370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09" name="Line 37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10" name="Line 37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11" name="Line 37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12" name="Line 37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13" name="Line 37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14" name="Line 37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15" name="Line 37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16" name="Line 37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17" name="Line 37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18" name="Line 38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19" name="Line 38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20" name="Line 38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21" name="Line 38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22" name="Line 384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23" name="Line 385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24" name="Line 38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25" name="Line 38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26" name="Line 38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27" name="Line 38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28" name="Line 39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29" name="Line 39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30" name="Line 39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31" name="Line 39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32" name="Line 39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33" name="Line 39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34" name="Line 39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35" name="Line 39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36" name="Line 39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37" name="Line 39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38" name="Line 40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39" name="Line 40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40" name="Line 40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41" name="Line 40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42" name="Line 40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43" name="Line 40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44" name="Line 40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45" name="Line 40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46" name="Line 40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47" name="Line 40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48" name="Line 41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49" name="Line 41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850" name="Line 412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51" name="Line 41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52" name="Line 41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53" name="Line 41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1854" name="Line 416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855" name="Line 417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56" name="Line 41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57" name="Line 41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858" name="Line 420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1859" name="Line 421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60" name="Line 42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61" name="Line 42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1862" name="Line 424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63" name="Line 425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64" name="Line 426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1865" name="Line 427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66" name="Line 42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67" name="Line 42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68" name="Line 43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69" name="Line 43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70" name="Line 43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71" name="Line 43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72" name="Line 43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73" name="Line 43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74" name="Line 43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75" name="Line 43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76" name="Line 43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77" name="Line 43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78" name="Line 44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79" name="Line 44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80" name="Line 44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81" name="Line 44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82" name="Line 444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83" name="Line 445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84" name="Line 44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85" name="Line 44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86" name="Line 44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87" name="Line 44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88" name="Line 45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89" name="Line 45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90" name="Line 45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91" name="Line 45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92" name="Line 45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93" name="Line 45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894" name="Line 45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895" name="Line 457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885825</xdr:colOff>
      <xdr:row>37</xdr:row>
      <xdr:rowOff>0</xdr:rowOff>
    </xdr:from>
    <xdr:to>
      <xdr:col>5</xdr:col>
      <xdr:colOff>885825</xdr:colOff>
      <xdr:row>37</xdr:row>
      <xdr:rowOff>0</xdr:rowOff>
    </xdr:to>
    <xdr:sp>
      <xdr:nvSpPr>
        <xdr:cNvPr id="1896" name="Line 458"/>
        <xdr:cNvSpPr>
          <a:spLocks/>
        </xdr:cNvSpPr>
      </xdr:nvSpPr>
      <xdr:spPr>
        <a:xfrm>
          <a:off x="68103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897" name="Line 45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898" name="Line 46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899" name="Line 46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900" name="Line 46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01" name="Line 46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02" name="Line 46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903" name="Line 465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904" name="Line 46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05" name="Line 46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06" name="Line 46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1907" name="Line 469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908" name="Line 470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09" name="Line 47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10" name="Line 47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911" name="Line 473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1912" name="Line 474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13" name="Line 47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14" name="Line 47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1915" name="Line 477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916" name="Line 478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917" name="Line 479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1918" name="Line 480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919" name="Line 48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920" name="Line 48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21" name="Line 48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22" name="Line 48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923" name="Line 48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924" name="Line 48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25" name="Line 48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26" name="Line 48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927" name="Line 48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928" name="Line 49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29" name="Line 49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30" name="Line 49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931" name="Line 49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932" name="Line 49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33" name="Line 49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34" name="Line 49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935" name="Line 497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936" name="Line 498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37" name="Line 49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38" name="Line 50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939" name="Line 50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940" name="Line 50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41" name="Line 50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42" name="Line 50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43" name="Line 50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44" name="Line 50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945" name="Line 50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946" name="Line 50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47" name="Line 50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948" name="Line 51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949" name="Line 51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950" name="Line 512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951" name="Line 513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52" name="Line 51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53" name="Line 51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54" name="Line 51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55" name="Line 51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956" name="Line 51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957" name="Line 51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58" name="Line 52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59" name="Line 52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60" name="Line 52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61" name="Line 52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962" name="Line 524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963" name="Line 525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64" name="Line 52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65" name="Line 52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66" name="Line 52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67" name="Line 52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968" name="Line 53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969" name="Line 53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70" name="Line 53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71" name="Line 53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72" name="Line 53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73" name="Line 53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974" name="Line 53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975" name="Line 53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76" name="Line 53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77" name="Line 53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1978" name="Line 540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979" name="Line 541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80" name="Line 54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81" name="Line 54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1982" name="Line 544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983" name="Line 545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84" name="Line 54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85" name="Line 54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1986" name="Line 548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1987" name="Line 549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88" name="Line 55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89" name="Line 55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1990" name="Line 552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991" name="Line 553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992" name="Line 554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1993" name="Line 555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994" name="Line 55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995" name="Line 55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1996" name="Line 55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97" name="Line 55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1998" name="Line 56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1999" name="Line 56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000" name="Line 562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01" name="Line 563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002" name="Line 564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003" name="Line 565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004" name="Line 566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05" name="Line 567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006" name="Line 56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007" name="Line 56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008" name="Line 57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09" name="Line 57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010" name="Line 572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011" name="Line 573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012" name="Line 574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13" name="Line 57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014" name="Line 57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015" name="Line 57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016" name="Line 578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17" name="Line 579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018" name="Line 580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019" name="Line 581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20" name="Line 58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021" name="Line 58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022" name="Line 58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2023" name="Line 585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885825</xdr:colOff>
      <xdr:row>37</xdr:row>
      <xdr:rowOff>0</xdr:rowOff>
    </xdr:from>
    <xdr:to>
      <xdr:col>5</xdr:col>
      <xdr:colOff>885825</xdr:colOff>
      <xdr:row>37</xdr:row>
      <xdr:rowOff>0</xdr:rowOff>
    </xdr:to>
    <xdr:sp>
      <xdr:nvSpPr>
        <xdr:cNvPr id="2024" name="Line 586"/>
        <xdr:cNvSpPr>
          <a:spLocks/>
        </xdr:cNvSpPr>
      </xdr:nvSpPr>
      <xdr:spPr>
        <a:xfrm>
          <a:off x="68103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025" name="Line 58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26" name="Line 58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027" name="Line 58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028" name="Line 59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029" name="Line 59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30" name="Line 59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37</xdr:row>
      <xdr:rowOff>0</xdr:rowOff>
    </xdr:from>
    <xdr:to>
      <xdr:col>4</xdr:col>
      <xdr:colOff>876300</xdr:colOff>
      <xdr:row>37</xdr:row>
      <xdr:rowOff>0</xdr:rowOff>
    </xdr:to>
    <xdr:sp>
      <xdr:nvSpPr>
        <xdr:cNvPr id="2031" name="Line 593"/>
        <xdr:cNvSpPr>
          <a:spLocks/>
        </xdr:cNvSpPr>
      </xdr:nvSpPr>
      <xdr:spPr>
        <a:xfrm>
          <a:off x="5686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032" name="Line 59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033" name="Line 59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34" name="Line 59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942975</xdr:colOff>
      <xdr:row>37</xdr:row>
      <xdr:rowOff>0</xdr:rowOff>
    </xdr:to>
    <xdr:sp>
      <xdr:nvSpPr>
        <xdr:cNvPr id="2035" name="Line 597"/>
        <xdr:cNvSpPr>
          <a:spLocks/>
        </xdr:cNvSpPr>
      </xdr:nvSpPr>
      <xdr:spPr>
        <a:xfrm flipH="1">
          <a:off x="574357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942975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2036" name="Line 598"/>
        <xdr:cNvSpPr>
          <a:spLocks/>
        </xdr:cNvSpPr>
      </xdr:nvSpPr>
      <xdr:spPr>
        <a:xfrm flipH="1">
          <a:off x="6867525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037" name="Line 59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38" name="Line 60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933450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2039" name="Line 601"/>
        <xdr:cNvSpPr>
          <a:spLocks/>
        </xdr:cNvSpPr>
      </xdr:nvSpPr>
      <xdr:spPr>
        <a:xfrm flipH="1">
          <a:off x="68580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933450</xdr:colOff>
      <xdr:row>37</xdr:row>
      <xdr:rowOff>0</xdr:rowOff>
    </xdr:from>
    <xdr:to>
      <xdr:col>4</xdr:col>
      <xdr:colOff>933450</xdr:colOff>
      <xdr:row>37</xdr:row>
      <xdr:rowOff>0</xdr:rowOff>
    </xdr:to>
    <xdr:sp>
      <xdr:nvSpPr>
        <xdr:cNvPr id="2040" name="Line 602"/>
        <xdr:cNvSpPr>
          <a:spLocks/>
        </xdr:cNvSpPr>
      </xdr:nvSpPr>
      <xdr:spPr>
        <a:xfrm flipH="1">
          <a:off x="57435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041" name="Line 60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42" name="Line 60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914400</xdr:colOff>
      <xdr:row>37</xdr:row>
      <xdr:rowOff>0</xdr:rowOff>
    </xdr:to>
    <xdr:sp>
      <xdr:nvSpPr>
        <xdr:cNvPr id="2043" name="Line 605"/>
        <xdr:cNvSpPr>
          <a:spLocks/>
        </xdr:cNvSpPr>
      </xdr:nvSpPr>
      <xdr:spPr>
        <a:xfrm flipH="1">
          <a:off x="6819900" y="10715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044" name="Line 606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045" name="Line 607"/>
        <xdr:cNvSpPr>
          <a:spLocks/>
        </xdr:cNvSpPr>
      </xdr:nvSpPr>
      <xdr:spPr>
        <a:xfrm flipH="1">
          <a:off x="5695950" y="10715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37</xdr:row>
      <xdr:rowOff>0</xdr:rowOff>
    </xdr:from>
    <xdr:to>
      <xdr:col>5</xdr:col>
      <xdr:colOff>876300</xdr:colOff>
      <xdr:row>37</xdr:row>
      <xdr:rowOff>0</xdr:rowOff>
    </xdr:to>
    <xdr:sp>
      <xdr:nvSpPr>
        <xdr:cNvPr id="2046" name="Line 608"/>
        <xdr:cNvSpPr>
          <a:spLocks/>
        </xdr:cNvSpPr>
      </xdr:nvSpPr>
      <xdr:spPr>
        <a:xfrm flipH="1">
          <a:off x="6800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047" name="Line 60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048" name="Line 61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049" name="Line 61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50" name="Line 61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051" name="Line 61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052" name="Line 61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053" name="Line 615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54" name="Line 61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055" name="Line 617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056" name="Line 618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057" name="Line 61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58" name="Line 62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059" name="Line 62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060" name="Line 62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061" name="Line 62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62" name="Line 62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063" name="Line 625"/>
        <xdr:cNvSpPr>
          <a:spLocks/>
        </xdr:cNvSpPr>
      </xdr:nvSpPr>
      <xdr:spPr>
        <a:xfrm flipH="1"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064" name="Line 626"/>
        <xdr:cNvSpPr>
          <a:spLocks/>
        </xdr:cNvSpPr>
      </xdr:nvSpPr>
      <xdr:spPr>
        <a:xfrm flipH="1"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065" name="Line 62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66" name="Line 62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067" name="Line 629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068" name="Line 630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069" name="Line 631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70" name="Line 632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071" name="Line 633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072" name="Line 634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73" name="Line 635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074" name="Line 636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075" name="Line 637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076" name="Line 638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077" name="Line 639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078" name="Line 640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79" name="Line 641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080" name="Line 1129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81" name="Line 1130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923925</xdr:colOff>
      <xdr:row>37</xdr:row>
      <xdr:rowOff>0</xdr:rowOff>
    </xdr:from>
    <xdr:to>
      <xdr:col>4</xdr:col>
      <xdr:colOff>923925</xdr:colOff>
      <xdr:row>37</xdr:row>
      <xdr:rowOff>0</xdr:rowOff>
    </xdr:to>
    <xdr:sp>
      <xdr:nvSpPr>
        <xdr:cNvPr id="2082" name="Line 753"/>
        <xdr:cNvSpPr>
          <a:spLocks/>
        </xdr:cNvSpPr>
      </xdr:nvSpPr>
      <xdr:spPr>
        <a:xfrm>
          <a:off x="5734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083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084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085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1209675</xdr:colOff>
      <xdr:row>37</xdr:row>
      <xdr:rowOff>0</xdr:rowOff>
    </xdr:from>
    <xdr:to>
      <xdr:col>2</xdr:col>
      <xdr:colOff>1209675</xdr:colOff>
      <xdr:row>37</xdr:row>
      <xdr:rowOff>0</xdr:rowOff>
    </xdr:to>
    <xdr:sp>
      <xdr:nvSpPr>
        <xdr:cNvPr id="2086" name="Line 755"/>
        <xdr:cNvSpPr>
          <a:spLocks/>
        </xdr:cNvSpPr>
      </xdr:nvSpPr>
      <xdr:spPr>
        <a:xfrm flipH="1">
          <a:off x="1924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87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0</xdr:row>
      <xdr:rowOff>0</xdr:rowOff>
    </xdr:from>
    <xdr:to>
      <xdr:col>4</xdr:col>
      <xdr:colOff>904875</xdr:colOff>
      <xdr:row>0</xdr:row>
      <xdr:rowOff>0</xdr:rowOff>
    </xdr:to>
    <xdr:sp>
      <xdr:nvSpPr>
        <xdr:cNvPr id="2088" name="Line 753"/>
        <xdr:cNvSpPr>
          <a:spLocks/>
        </xdr:cNvSpPr>
      </xdr:nvSpPr>
      <xdr:spPr>
        <a:xfrm>
          <a:off x="571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0</xdr:row>
      <xdr:rowOff>0</xdr:rowOff>
    </xdr:from>
    <xdr:to>
      <xdr:col>5</xdr:col>
      <xdr:colOff>904875</xdr:colOff>
      <xdr:row>0</xdr:row>
      <xdr:rowOff>0</xdr:rowOff>
    </xdr:to>
    <xdr:sp>
      <xdr:nvSpPr>
        <xdr:cNvPr id="2089" name="Line 754"/>
        <xdr:cNvSpPr>
          <a:spLocks/>
        </xdr:cNvSpPr>
      </xdr:nvSpPr>
      <xdr:spPr>
        <a:xfrm>
          <a:off x="682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1152525</xdr:colOff>
      <xdr:row>0</xdr:row>
      <xdr:rowOff>0</xdr:rowOff>
    </xdr:from>
    <xdr:to>
      <xdr:col>2</xdr:col>
      <xdr:colOff>1152525</xdr:colOff>
      <xdr:row>0</xdr:row>
      <xdr:rowOff>0</xdr:rowOff>
    </xdr:to>
    <xdr:sp>
      <xdr:nvSpPr>
        <xdr:cNvPr id="2090" name="Line 755"/>
        <xdr:cNvSpPr>
          <a:spLocks/>
        </xdr:cNvSpPr>
      </xdr:nvSpPr>
      <xdr:spPr>
        <a:xfrm flipH="1">
          <a:off x="186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91" name="Line 756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092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093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94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1447800</xdr:colOff>
      <xdr:row>37</xdr:row>
      <xdr:rowOff>0</xdr:rowOff>
    </xdr:from>
    <xdr:to>
      <xdr:col>2</xdr:col>
      <xdr:colOff>1447800</xdr:colOff>
      <xdr:row>37</xdr:row>
      <xdr:rowOff>0</xdr:rowOff>
    </xdr:to>
    <xdr:sp>
      <xdr:nvSpPr>
        <xdr:cNvPr id="2095" name="Line 755"/>
        <xdr:cNvSpPr>
          <a:spLocks/>
        </xdr:cNvSpPr>
      </xdr:nvSpPr>
      <xdr:spPr>
        <a:xfrm flipH="1">
          <a:off x="21621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096" name="Line 1131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097" name="Line 1132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098" name="Line 1133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99" name="Line 1134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0</xdr:rowOff>
    </xdr:from>
    <xdr:to>
      <xdr:col>4</xdr:col>
      <xdr:colOff>895350</xdr:colOff>
      <xdr:row>37</xdr:row>
      <xdr:rowOff>0</xdr:rowOff>
    </xdr:to>
    <xdr:sp>
      <xdr:nvSpPr>
        <xdr:cNvPr id="2100" name="Line 1135"/>
        <xdr:cNvSpPr>
          <a:spLocks/>
        </xdr:cNvSpPr>
      </xdr:nvSpPr>
      <xdr:spPr>
        <a:xfrm>
          <a:off x="57054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37</xdr:row>
      <xdr:rowOff>0</xdr:rowOff>
    </xdr:from>
    <xdr:to>
      <xdr:col>5</xdr:col>
      <xdr:colOff>895350</xdr:colOff>
      <xdr:row>37</xdr:row>
      <xdr:rowOff>0</xdr:rowOff>
    </xdr:to>
    <xdr:sp>
      <xdr:nvSpPr>
        <xdr:cNvPr id="2101" name="Line 1136"/>
        <xdr:cNvSpPr>
          <a:spLocks/>
        </xdr:cNvSpPr>
      </xdr:nvSpPr>
      <xdr:spPr>
        <a:xfrm>
          <a:off x="68199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37</xdr:row>
      <xdr:rowOff>0</xdr:rowOff>
    </xdr:from>
    <xdr:to>
      <xdr:col>2</xdr:col>
      <xdr:colOff>1000125</xdr:colOff>
      <xdr:row>37</xdr:row>
      <xdr:rowOff>0</xdr:rowOff>
    </xdr:to>
    <xdr:sp>
      <xdr:nvSpPr>
        <xdr:cNvPr id="2102" name="Line 1137"/>
        <xdr:cNvSpPr>
          <a:spLocks/>
        </xdr:cNvSpPr>
      </xdr:nvSpPr>
      <xdr:spPr>
        <a:xfrm flipH="1">
          <a:off x="1714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03" name="Line 1138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104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105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06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1447800</xdr:colOff>
      <xdr:row>37</xdr:row>
      <xdr:rowOff>0</xdr:rowOff>
    </xdr:from>
    <xdr:to>
      <xdr:col>2</xdr:col>
      <xdr:colOff>1447800</xdr:colOff>
      <xdr:row>37</xdr:row>
      <xdr:rowOff>0</xdr:rowOff>
    </xdr:to>
    <xdr:sp>
      <xdr:nvSpPr>
        <xdr:cNvPr id="2107" name="Line 755"/>
        <xdr:cNvSpPr>
          <a:spLocks/>
        </xdr:cNvSpPr>
      </xdr:nvSpPr>
      <xdr:spPr>
        <a:xfrm flipH="1">
          <a:off x="21621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108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109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10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111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112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13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114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115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16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1447800</xdr:colOff>
      <xdr:row>37</xdr:row>
      <xdr:rowOff>0</xdr:rowOff>
    </xdr:from>
    <xdr:to>
      <xdr:col>2</xdr:col>
      <xdr:colOff>1447800</xdr:colOff>
      <xdr:row>37</xdr:row>
      <xdr:rowOff>0</xdr:rowOff>
    </xdr:to>
    <xdr:sp>
      <xdr:nvSpPr>
        <xdr:cNvPr id="2117" name="Line 755"/>
        <xdr:cNvSpPr>
          <a:spLocks/>
        </xdr:cNvSpPr>
      </xdr:nvSpPr>
      <xdr:spPr>
        <a:xfrm flipH="1">
          <a:off x="216217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118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119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1209675</xdr:colOff>
      <xdr:row>37</xdr:row>
      <xdr:rowOff>0</xdr:rowOff>
    </xdr:from>
    <xdr:to>
      <xdr:col>2</xdr:col>
      <xdr:colOff>1209675</xdr:colOff>
      <xdr:row>37</xdr:row>
      <xdr:rowOff>0</xdr:rowOff>
    </xdr:to>
    <xdr:sp>
      <xdr:nvSpPr>
        <xdr:cNvPr id="2120" name="Line 755"/>
        <xdr:cNvSpPr>
          <a:spLocks/>
        </xdr:cNvSpPr>
      </xdr:nvSpPr>
      <xdr:spPr>
        <a:xfrm flipH="1">
          <a:off x="1924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21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122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123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1209675</xdr:colOff>
      <xdr:row>37</xdr:row>
      <xdr:rowOff>0</xdr:rowOff>
    </xdr:from>
    <xdr:to>
      <xdr:col>2</xdr:col>
      <xdr:colOff>1209675</xdr:colOff>
      <xdr:row>37</xdr:row>
      <xdr:rowOff>0</xdr:rowOff>
    </xdr:to>
    <xdr:sp>
      <xdr:nvSpPr>
        <xdr:cNvPr id="2124" name="Line 755"/>
        <xdr:cNvSpPr>
          <a:spLocks/>
        </xdr:cNvSpPr>
      </xdr:nvSpPr>
      <xdr:spPr>
        <a:xfrm flipH="1">
          <a:off x="1924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25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126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127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1209675</xdr:colOff>
      <xdr:row>37</xdr:row>
      <xdr:rowOff>0</xdr:rowOff>
    </xdr:from>
    <xdr:to>
      <xdr:col>2</xdr:col>
      <xdr:colOff>1209675</xdr:colOff>
      <xdr:row>37</xdr:row>
      <xdr:rowOff>0</xdr:rowOff>
    </xdr:to>
    <xdr:sp>
      <xdr:nvSpPr>
        <xdr:cNvPr id="2128" name="Line 755"/>
        <xdr:cNvSpPr>
          <a:spLocks/>
        </xdr:cNvSpPr>
      </xdr:nvSpPr>
      <xdr:spPr>
        <a:xfrm flipH="1">
          <a:off x="1924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29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130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131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1209675</xdr:colOff>
      <xdr:row>37</xdr:row>
      <xdr:rowOff>0</xdr:rowOff>
    </xdr:from>
    <xdr:to>
      <xdr:col>2</xdr:col>
      <xdr:colOff>1209675</xdr:colOff>
      <xdr:row>37</xdr:row>
      <xdr:rowOff>0</xdr:rowOff>
    </xdr:to>
    <xdr:sp>
      <xdr:nvSpPr>
        <xdr:cNvPr id="2132" name="Line 755"/>
        <xdr:cNvSpPr>
          <a:spLocks/>
        </xdr:cNvSpPr>
      </xdr:nvSpPr>
      <xdr:spPr>
        <a:xfrm flipH="1">
          <a:off x="1924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33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134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135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1209675</xdr:colOff>
      <xdr:row>37</xdr:row>
      <xdr:rowOff>0</xdr:rowOff>
    </xdr:from>
    <xdr:to>
      <xdr:col>2</xdr:col>
      <xdr:colOff>1209675</xdr:colOff>
      <xdr:row>37</xdr:row>
      <xdr:rowOff>0</xdr:rowOff>
    </xdr:to>
    <xdr:sp>
      <xdr:nvSpPr>
        <xdr:cNvPr id="2136" name="Line 755"/>
        <xdr:cNvSpPr>
          <a:spLocks/>
        </xdr:cNvSpPr>
      </xdr:nvSpPr>
      <xdr:spPr>
        <a:xfrm flipH="1">
          <a:off x="1924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37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138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139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1209675</xdr:colOff>
      <xdr:row>37</xdr:row>
      <xdr:rowOff>0</xdr:rowOff>
    </xdr:from>
    <xdr:to>
      <xdr:col>2</xdr:col>
      <xdr:colOff>1209675</xdr:colOff>
      <xdr:row>37</xdr:row>
      <xdr:rowOff>0</xdr:rowOff>
    </xdr:to>
    <xdr:sp>
      <xdr:nvSpPr>
        <xdr:cNvPr id="2140" name="Line 755"/>
        <xdr:cNvSpPr>
          <a:spLocks/>
        </xdr:cNvSpPr>
      </xdr:nvSpPr>
      <xdr:spPr>
        <a:xfrm flipH="1">
          <a:off x="1924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41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142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143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1209675</xdr:colOff>
      <xdr:row>37</xdr:row>
      <xdr:rowOff>0</xdr:rowOff>
    </xdr:from>
    <xdr:to>
      <xdr:col>2</xdr:col>
      <xdr:colOff>1209675</xdr:colOff>
      <xdr:row>37</xdr:row>
      <xdr:rowOff>0</xdr:rowOff>
    </xdr:to>
    <xdr:sp>
      <xdr:nvSpPr>
        <xdr:cNvPr id="2144" name="Line 755"/>
        <xdr:cNvSpPr>
          <a:spLocks/>
        </xdr:cNvSpPr>
      </xdr:nvSpPr>
      <xdr:spPr>
        <a:xfrm flipH="1">
          <a:off x="1924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45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146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147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48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149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150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51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152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153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1209675</xdr:colOff>
      <xdr:row>37</xdr:row>
      <xdr:rowOff>0</xdr:rowOff>
    </xdr:from>
    <xdr:to>
      <xdr:col>2</xdr:col>
      <xdr:colOff>1209675</xdr:colOff>
      <xdr:row>37</xdr:row>
      <xdr:rowOff>0</xdr:rowOff>
    </xdr:to>
    <xdr:sp>
      <xdr:nvSpPr>
        <xdr:cNvPr id="2154" name="Line 755"/>
        <xdr:cNvSpPr>
          <a:spLocks/>
        </xdr:cNvSpPr>
      </xdr:nvSpPr>
      <xdr:spPr>
        <a:xfrm flipH="1">
          <a:off x="1924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55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156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157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1209675</xdr:colOff>
      <xdr:row>37</xdr:row>
      <xdr:rowOff>0</xdr:rowOff>
    </xdr:from>
    <xdr:to>
      <xdr:col>2</xdr:col>
      <xdr:colOff>1209675</xdr:colOff>
      <xdr:row>37</xdr:row>
      <xdr:rowOff>0</xdr:rowOff>
    </xdr:to>
    <xdr:sp>
      <xdr:nvSpPr>
        <xdr:cNvPr id="2158" name="Line 755"/>
        <xdr:cNvSpPr>
          <a:spLocks/>
        </xdr:cNvSpPr>
      </xdr:nvSpPr>
      <xdr:spPr>
        <a:xfrm flipH="1">
          <a:off x="1924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59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160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161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1209675</xdr:colOff>
      <xdr:row>37</xdr:row>
      <xdr:rowOff>0</xdr:rowOff>
    </xdr:from>
    <xdr:to>
      <xdr:col>2</xdr:col>
      <xdr:colOff>1209675</xdr:colOff>
      <xdr:row>37</xdr:row>
      <xdr:rowOff>0</xdr:rowOff>
    </xdr:to>
    <xdr:sp>
      <xdr:nvSpPr>
        <xdr:cNvPr id="2162" name="Line 755"/>
        <xdr:cNvSpPr>
          <a:spLocks/>
        </xdr:cNvSpPr>
      </xdr:nvSpPr>
      <xdr:spPr>
        <a:xfrm flipH="1">
          <a:off x="1924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63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164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165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1209675</xdr:colOff>
      <xdr:row>37</xdr:row>
      <xdr:rowOff>0</xdr:rowOff>
    </xdr:from>
    <xdr:to>
      <xdr:col>2</xdr:col>
      <xdr:colOff>1209675</xdr:colOff>
      <xdr:row>37</xdr:row>
      <xdr:rowOff>0</xdr:rowOff>
    </xdr:to>
    <xdr:sp>
      <xdr:nvSpPr>
        <xdr:cNvPr id="2166" name="Line 755"/>
        <xdr:cNvSpPr>
          <a:spLocks/>
        </xdr:cNvSpPr>
      </xdr:nvSpPr>
      <xdr:spPr>
        <a:xfrm flipH="1">
          <a:off x="1924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67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168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169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1209675</xdr:colOff>
      <xdr:row>37</xdr:row>
      <xdr:rowOff>0</xdr:rowOff>
    </xdr:from>
    <xdr:to>
      <xdr:col>2</xdr:col>
      <xdr:colOff>1209675</xdr:colOff>
      <xdr:row>37</xdr:row>
      <xdr:rowOff>0</xdr:rowOff>
    </xdr:to>
    <xdr:sp>
      <xdr:nvSpPr>
        <xdr:cNvPr id="2170" name="Line 755"/>
        <xdr:cNvSpPr>
          <a:spLocks/>
        </xdr:cNvSpPr>
      </xdr:nvSpPr>
      <xdr:spPr>
        <a:xfrm flipH="1">
          <a:off x="1924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71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904875</xdr:colOff>
      <xdr:row>37</xdr:row>
      <xdr:rowOff>0</xdr:rowOff>
    </xdr:from>
    <xdr:to>
      <xdr:col>4</xdr:col>
      <xdr:colOff>904875</xdr:colOff>
      <xdr:row>37</xdr:row>
      <xdr:rowOff>0</xdr:rowOff>
    </xdr:to>
    <xdr:sp>
      <xdr:nvSpPr>
        <xdr:cNvPr id="2172" name="Line 753"/>
        <xdr:cNvSpPr>
          <a:spLocks/>
        </xdr:cNvSpPr>
      </xdr:nvSpPr>
      <xdr:spPr>
        <a:xfrm>
          <a:off x="57150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904875</xdr:colOff>
      <xdr:row>37</xdr:row>
      <xdr:rowOff>0</xdr:rowOff>
    </xdr:from>
    <xdr:to>
      <xdr:col>5</xdr:col>
      <xdr:colOff>904875</xdr:colOff>
      <xdr:row>37</xdr:row>
      <xdr:rowOff>0</xdr:rowOff>
    </xdr:to>
    <xdr:sp>
      <xdr:nvSpPr>
        <xdr:cNvPr id="2173" name="Line 754"/>
        <xdr:cNvSpPr>
          <a:spLocks/>
        </xdr:cNvSpPr>
      </xdr:nvSpPr>
      <xdr:spPr>
        <a:xfrm>
          <a:off x="68294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1209675</xdr:colOff>
      <xdr:row>37</xdr:row>
      <xdr:rowOff>0</xdr:rowOff>
    </xdr:from>
    <xdr:to>
      <xdr:col>2</xdr:col>
      <xdr:colOff>1209675</xdr:colOff>
      <xdr:row>37</xdr:row>
      <xdr:rowOff>0</xdr:rowOff>
    </xdr:to>
    <xdr:sp>
      <xdr:nvSpPr>
        <xdr:cNvPr id="2174" name="Line 755"/>
        <xdr:cNvSpPr>
          <a:spLocks/>
        </xdr:cNvSpPr>
      </xdr:nvSpPr>
      <xdr:spPr>
        <a:xfrm flipH="1">
          <a:off x="1924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75" name="Line 756"/>
        <xdr:cNvSpPr>
          <a:spLocks/>
        </xdr:cNvSpPr>
      </xdr:nvSpPr>
      <xdr:spPr>
        <a:xfrm>
          <a:off x="48101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1209675</xdr:colOff>
      <xdr:row>70</xdr:row>
      <xdr:rowOff>0</xdr:rowOff>
    </xdr:from>
    <xdr:to>
      <xdr:col>2</xdr:col>
      <xdr:colOff>1209675</xdr:colOff>
      <xdr:row>75</xdr:row>
      <xdr:rowOff>0</xdr:rowOff>
    </xdr:to>
    <xdr:sp>
      <xdr:nvSpPr>
        <xdr:cNvPr id="2176" name="Line 755"/>
        <xdr:cNvSpPr>
          <a:spLocks/>
        </xdr:cNvSpPr>
      </xdr:nvSpPr>
      <xdr:spPr>
        <a:xfrm flipH="1">
          <a:off x="1924050" y="2025967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9525</xdr:rowOff>
    </xdr:from>
    <xdr:to>
      <xdr:col>4</xdr:col>
      <xdr:colOff>0</xdr:colOff>
      <xdr:row>75</xdr:row>
      <xdr:rowOff>0</xdr:rowOff>
    </xdr:to>
    <xdr:sp>
      <xdr:nvSpPr>
        <xdr:cNvPr id="2177" name="Line 756"/>
        <xdr:cNvSpPr>
          <a:spLocks/>
        </xdr:cNvSpPr>
      </xdr:nvSpPr>
      <xdr:spPr>
        <a:xfrm>
          <a:off x="4810125" y="2026920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42</xdr:row>
      <xdr:rowOff>0</xdr:rowOff>
    </xdr:from>
    <xdr:to>
      <xdr:col>4</xdr:col>
      <xdr:colOff>876300</xdr:colOff>
      <xdr:row>67</xdr:row>
      <xdr:rowOff>0</xdr:rowOff>
    </xdr:to>
    <xdr:sp>
      <xdr:nvSpPr>
        <xdr:cNvPr id="2178" name="Line 753"/>
        <xdr:cNvSpPr>
          <a:spLocks/>
        </xdr:cNvSpPr>
      </xdr:nvSpPr>
      <xdr:spPr>
        <a:xfrm>
          <a:off x="5686425" y="12258675"/>
          <a:ext cx="0" cy="714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42</xdr:row>
      <xdr:rowOff>0</xdr:rowOff>
    </xdr:from>
    <xdr:to>
      <xdr:col>5</xdr:col>
      <xdr:colOff>876300</xdr:colOff>
      <xdr:row>67</xdr:row>
      <xdr:rowOff>0</xdr:rowOff>
    </xdr:to>
    <xdr:sp>
      <xdr:nvSpPr>
        <xdr:cNvPr id="2179" name="Line 754"/>
        <xdr:cNvSpPr>
          <a:spLocks/>
        </xdr:cNvSpPr>
      </xdr:nvSpPr>
      <xdr:spPr>
        <a:xfrm>
          <a:off x="6800850" y="12258675"/>
          <a:ext cx="0" cy="714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9525</xdr:rowOff>
    </xdr:from>
    <xdr:to>
      <xdr:col>4</xdr:col>
      <xdr:colOff>0</xdr:colOff>
      <xdr:row>75</xdr:row>
      <xdr:rowOff>0</xdr:rowOff>
    </xdr:to>
    <xdr:sp>
      <xdr:nvSpPr>
        <xdr:cNvPr id="2180" name="Line 756"/>
        <xdr:cNvSpPr>
          <a:spLocks/>
        </xdr:cNvSpPr>
      </xdr:nvSpPr>
      <xdr:spPr>
        <a:xfrm>
          <a:off x="4810125" y="2026920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1209675</xdr:colOff>
      <xdr:row>108</xdr:row>
      <xdr:rowOff>0</xdr:rowOff>
    </xdr:from>
    <xdr:to>
      <xdr:col>2</xdr:col>
      <xdr:colOff>1209675</xdr:colOff>
      <xdr:row>113</xdr:row>
      <xdr:rowOff>0</xdr:rowOff>
    </xdr:to>
    <xdr:sp>
      <xdr:nvSpPr>
        <xdr:cNvPr id="2181" name="Line 755"/>
        <xdr:cNvSpPr>
          <a:spLocks/>
        </xdr:cNvSpPr>
      </xdr:nvSpPr>
      <xdr:spPr>
        <a:xfrm flipH="1">
          <a:off x="1924050" y="3125152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4</xdr:col>
      <xdr:colOff>0</xdr:colOff>
      <xdr:row>113</xdr:row>
      <xdr:rowOff>0</xdr:rowOff>
    </xdr:to>
    <xdr:sp>
      <xdr:nvSpPr>
        <xdr:cNvPr id="2182" name="Line 756"/>
        <xdr:cNvSpPr>
          <a:spLocks/>
        </xdr:cNvSpPr>
      </xdr:nvSpPr>
      <xdr:spPr>
        <a:xfrm>
          <a:off x="4810125" y="3126105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81</xdr:row>
      <xdr:rowOff>0</xdr:rowOff>
    </xdr:from>
    <xdr:to>
      <xdr:col>4</xdr:col>
      <xdr:colOff>876300</xdr:colOff>
      <xdr:row>105</xdr:row>
      <xdr:rowOff>0</xdr:rowOff>
    </xdr:to>
    <xdr:sp>
      <xdr:nvSpPr>
        <xdr:cNvPr id="2183" name="Line 753"/>
        <xdr:cNvSpPr>
          <a:spLocks/>
        </xdr:cNvSpPr>
      </xdr:nvSpPr>
      <xdr:spPr>
        <a:xfrm>
          <a:off x="5686425" y="23526750"/>
          <a:ext cx="0" cy="685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81</xdr:row>
      <xdr:rowOff>0</xdr:rowOff>
    </xdr:from>
    <xdr:to>
      <xdr:col>5</xdr:col>
      <xdr:colOff>876300</xdr:colOff>
      <xdr:row>105</xdr:row>
      <xdr:rowOff>0</xdr:rowOff>
    </xdr:to>
    <xdr:sp>
      <xdr:nvSpPr>
        <xdr:cNvPr id="2184" name="Line 754"/>
        <xdr:cNvSpPr>
          <a:spLocks/>
        </xdr:cNvSpPr>
      </xdr:nvSpPr>
      <xdr:spPr>
        <a:xfrm>
          <a:off x="6800850" y="23526750"/>
          <a:ext cx="0" cy="685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4</xdr:col>
      <xdr:colOff>0</xdr:colOff>
      <xdr:row>113</xdr:row>
      <xdr:rowOff>0</xdr:rowOff>
    </xdr:to>
    <xdr:sp>
      <xdr:nvSpPr>
        <xdr:cNvPr id="2185" name="Line 756"/>
        <xdr:cNvSpPr>
          <a:spLocks/>
        </xdr:cNvSpPr>
      </xdr:nvSpPr>
      <xdr:spPr>
        <a:xfrm>
          <a:off x="4810125" y="3126105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1209675</xdr:colOff>
      <xdr:row>146</xdr:row>
      <xdr:rowOff>0</xdr:rowOff>
    </xdr:from>
    <xdr:to>
      <xdr:col>2</xdr:col>
      <xdr:colOff>1209675</xdr:colOff>
      <xdr:row>151</xdr:row>
      <xdr:rowOff>0</xdr:rowOff>
    </xdr:to>
    <xdr:sp>
      <xdr:nvSpPr>
        <xdr:cNvPr id="2186" name="Line 755"/>
        <xdr:cNvSpPr>
          <a:spLocks/>
        </xdr:cNvSpPr>
      </xdr:nvSpPr>
      <xdr:spPr>
        <a:xfrm flipH="1">
          <a:off x="1924050" y="4225290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9525</xdr:rowOff>
    </xdr:from>
    <xdr:to>
      <xdr:col>4</xdr:col>
      <xdr:colOff>0</xdr:colOff>
      <xdr:row>151</xdr:row>
      <xdr:rowOff>0</xdr:rowOff>
    </xdr:to>
    <xdr:sp>
      <xdr:nvSpPr>
        <xdr:cNvPr id="2187" name="Line 756"/>
        <xdr:cNvSpPr>
          <a:spLocks/>
        </xdr:cNvSpPr>
      </xdr:nvSpPr>
      <xdr:spPr>
        <a:xfrm>
          <a:off x="4810125" y="422624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118</xdr:row>
      <xdr:rowOff>0</xdr:rowOff>
    </xdr:from>
    <xdr:to>
      <xdr:col>4</xdr:col>
      <xdr:colOff>876300</xdr:colOff>
      <xdr:row>143</xdr:row>
      <xdr:rowOff>0</xdr:rowOff>
    </xdr:to>
    <xdr:sp>
      <xdr:nvSpPr>
        <xdr:cNvPr id="2188" name="Line 753"/>
        <xdr:cNvSpPr>
          <a:spLocks/>
        </xdr:cNvSpPr>
      </xdr:nvSpPr>
      <xdr:spPr>
        <a:xfrm>
          <a:off x="5686425" y="34242375"/>
          <a:ext cx="0" cy="714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118</xdr:row>
      <xdr:rowOff>0</xdr:rowOff>
    </xdr:from>
    <xdr:to>
      <xdr:col>5</xdr:col>
      <xdr:colOff>876300</xdr:colOff>
      <xdr:row>143</xdr:row>
      <xdr:rowOff>0</xdr:rowOff>
    </xdr:to>
    <xdr:sp>
      <xdr:nvSpPr>
        <xdr:cNvPr id="2189" name="Line 754"/>
        <xdr:cNvSpPr>
          <a:spLocks/>
        </xdr:cNvSpPr>
      </xdr:nvSpPr>
      <xdr:spPr>
        <a:xfrm>
          <a:off x="6800850" y="34242375"/>
          <a:ext cx="0" cy="714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9525</xdr:rowOff>
    </xdr:from>
    <xdr:to>
      <xdr:col>4</xdr:col>
      <xdr:colOff>0</xdr:colOff>
      <xdr:row>151</xdr:row>
      <xdr:rowOff>0</xdr:rowOff>
    </xdr:to>
    <xdr:sp>
      <xdr:nvSpPr>
        <xdr:cNvPr id="2190" name="Line 756"/>
        <xdr:cNvSpPr>
          <a:spLocks/>
        </xdr:cNvSpPr>
      </xdr:nvSpPr>
      <xdr:spPr>
        <a:xfrm>
          <a:off x="4810125" y="422624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591;&#3610;&#3607;&#3637;&#3656;&#3649;&#3585;&#3657;&#3652;&#3586;&#3649;&#3621;&#3657;&#3623;\&#3591;&#3610;&#3649;&#3626;&#3604;&#3591;&#3612;&#3621;&#3585;&#3634;&#3619;&#3604;&#3635;&#3648;&#3609;&#3636;&#3609;&#3591;&#3634;&#360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649;&#3626;&#3604;&#3591;&#3612;&#3621;&#3585;&#3634;&#3619;&#3604;&#3635;&#3648;&#3609;&#3636;&#3609;&#3591;&#3634;&#3609;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จากรายรับ"/>
      <sheetName val="แผนงานรวม"/>
      <sheetName val="รายจ่ายรวม"/>
      <sheetName val="รายละเอียด"/>
      <sheetName val="รายจ่าย-บริหาร"/>
      <sheetName val="หมายเหตุ1"/>
      <sheetName val="รายจ่าย-ศึกษา"/>
      <sheetName val="หมายเหตุ1-"/>
      <sheetName val="รายจ่าย-สาธา"/>
      <sheetName val="หมายเหต1"/>
      <sheetName val="รายจ่าย-สังคม"/>
      <sheetName val="ความเข้มแข็งชุมชน"/>
      <sheetName val="เหตุ1"/>
      <sheetName val="สงบภายใน"/>
      <sheetName val="หมายเหตุ11"/>
      <sheetName val="ศาสนา"/>
      <sheetName val="เคหะ"/>
      <sheetName val="อุตสาหกรรม"/>
      <sheetName val="หมายเหตุ-1"/>
      <sheetName val="เกษตร"/>
      <sheetName val="งบกลาง"/>
    </sheetNames>
    <sheetDataSet>
      <sheetData sheetId="4">
        <row r="17">
          <cell r="C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จากรายรับ"/>
      <sheetName val="แผนงานรวม"/>
      <sheetName val="รายละเอียด"/>
      <sheetName val="รายจ่ายรวม"/>
      <sheetName val="รายจ่าย-บริหาร"/>
      <sheetName val="หมายเหตุ1"/>
      <sheetName val="รายจ่าย-ศึกษา"/>
      <sheetName val="หมายเหตุ1-"/>
      <sheetName val="รายจ่าย-สาธา"/>
      <sheetName val="หมายเหต1"/>
      <sheetName val="รายจ่าย-สังคม"/>
      <sheetName val="ความเข้มแข็งชุมชน"/>
      <sheetName val="เหตุ1"/>
      <sheetName val="สงบภายใน"/>
      <sheetName val="หมายเหตุ11"/>
      <sheetName val="ศาสนา"/>
      <sheetName val="เคหะ"/>
      <sheetName val="อุตสาหกรรม"/>
      <sheetName val="หมายเหตุ-1"/>
      <sheetName val="เกษตร"/>
      <sheetName val="งบกลาง"/>
    </sheetNames>
    <sheetDataSet>
      <sheetData sheetId="4">
        <row r="8">
          <cell r="B8">
            <v>4282410</v>
          </cell>
          <cell r="C8">
            <v>4150269</v>
          </cell>
        </row>
        <row r="10">
          <cell r="B10">
            <v>0</v>
          </cell>
          <cell r="C10">
            <v>0</v>
          </cell>
        </row>
        <row r="11">
          <cell r="B11">
            <v>1054050</v>
          </cell>
          <cell r="C11">
            <v>915822.5</v>
          </cell>
        </row>
        <row r="12">
          <cell r="B12">
            <v>956745</v>
          </cell>
          <cell r="C12">
            <v>656096.6</v>
          </cell>
        </row>
        <row r="13">
          <cell r="B13">
            <v>487985</v>
          </cell>
          <cell r="C13">
            <v>437406.12</v>
          </cell>
        </row>
        <row r="14">
          <cell r="B14">
            <v>289920</v>
          </cell>
          <cell r="C14">
            <v>248178.15999999997</v>
          </cell>
        </row>
        <row r="15">
          <cell r="B15">
            <v>20000</v>
          </cell>
          <cell r="C15">
            <v>66000</v>
          </cell>
        </row>
        <row r="16">
          <cell r="B16">
            <v>0</v>
          </cell>
          <cell r="C16">
            <v>0</v>
          </cell>
        </row>
        <row r="18">
          <cell r="B18">
            <v>790000</v>
          </cell>
          <cell r="C18">
            <v>44194.3</v>
          </cell>
        </row>
        <row r="19">
          <cell r="B19">
            <v>0</v>
          </cell>
          <cell r="C19">
            <v>0</v>
          </cell>
        </row>
      </sheetData>
      <sheetData sheetId="6">
        <row r="8">
          <cell r="B8">
            <v>15762</v>
          </cell>
          <cell r="C8">
            <v>336430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265840</v>
          </cell>
          <cell r="C12">
            <v>266008</v>
          </cell>
        </row>
        <row r="13">
          <cell r="B13">
            <v>121760</v>
          </cell>
          <cell r="C13">
            <v>97836.82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</sheetData>
      <sheetData sheetId="8">
        <row r="8">
          <cell r="B8">
            <v>0</v>
          </cell>
          <cell r="C8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20000</v>
          </cell>
          <cell r="C12">
            <v>17376</v>
          </cell>
        </row>
        <row r="13">
          <cell r="B13">
            <v>170000</v>
          </cell>
          <cell r="C13">
            <v>66910</v>
          </cell>
        </row>
        <row r="14">
          <cell r="B14">
            <v>0</v>
          </cell>
          <cell r="C14">
            <v>0</v>
          </cell>
        </row>
        <row r="15">
          <cell r="B15">
            <v>60000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C17">
            <v>0</v>
          </cell>
        </row>
        <row r="18">
          <cell r="B18">
            <v>80000</v>
          </cell>
          <cell r="C18">
            <v>0</v>
          </cell>
        </row>
        <row r="19">
          <cell r="B19">
            <v>0</v>
          </cell>
          <cell r="C19">
            <v>0</v>
          </cell>
        </row>
      </sheetData>
      <sheetData sheetId="10">
        <row r="8">
          <cell r="B8">
            <v>0</v>
          </cell>
          <cell r="C8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90000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</sheetData>
      <sheetData sheetId="11">
        <row r="8">
          <cell r="B8">
            <v>153920</v>
          </cell>
          <cell r="C8">
            <v>147000</v>
          </cell>
        </row>
        <row r="10">
          <cell r="B10">
            <v>0</v>
          </cell>
          <cell r="C10">
            <v>0</v>
          </cell>
        </row>
        <row r="11">
          <cell r="B11">
            <v>20000</v>
          </cell>
          <cell r="C11">
            <v>6600</v>
          </cell>
        </row>
        <row r="12">
          <cell r="B12">
            <v>135417</v>
          </cell>
          <cell r="C12">
            <v>143450</v>
          </cell>
        </row>
        <row r="13">
          <cell r="B13">
            <v>30000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60000</v>
          </cell>
          <cell r="C15">
            <v>30000</v>
          </cell>
        </row>
        <row r="16">
          <cell r="B16">
            <v>0</v>
          </cell>
          <cell r="C16">
            <v>0</v>
          </cell>
        </row>
        <row r="17"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</sheetData>
      <sheetData sheetId="13">
        <row r="8">
          <cell r="B8">
            <v>0</v>
          </cell>
          <cell r="C8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D11">
            <v>0</v>
          </cell>
        </row>
        <row r="12">
          <cell r="B12">
            <v>214000</v>
          </cell>
          <cell r="C12">
            <v>190800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C17">
            <v>0</v>
          </cell>
        </row>
        <row r="18">
          <cell r="B18">
            <v>10500</v>
          </cell>
          <cell r="C18">
            <v>0</v>
          </cell>
        </row>
        <row r="19">
          <cell r="B19">
            <v>0</v>
          </cell>
          <cell r="C19">
            <v>0</v>
          </cell>
        </row>
      </sheetData>
      <sheetData sheetId="15">
        <row r="8">
          <cell r="B8">
            <v>0</v>
          </cell>
          <cell r="C8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625000</v>
          </cell>
          <cell r="C12">
            <v>402476</v>
          </cell>
        </row>
        <row r="13">
          <cell r="B13">
            <v>70000</v>
          </cell>
          <cell r="C13">
            <v>70000</v>
          </cell>
        </row>
        <row r="14">
          <cell r="B14">
            <v>0</v>
          </cell>
          <cell r="C14">
            <v>0</v>
          </cell>
        </row>
        <row r="15">
          <cell r="B15">
            <v>96000</v>
          </cell>
          <cell r="C15">
            <v>75000</v>
          </cell>
        </row>
        <row r="16">
          <cell r="B16">
            <v>0</v>
          </cell>
          <cell r="C16">
            <v>0</v>
          </cell>
        </row>
        <row r="17"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</sheetData>
      <sheetData sheetId="16">
        <row r="8">
          <cell r="B8">
            <v>345903</v>
          </cell>
          <cell r="C8">
            <v>327750</v>
          </cell>
        </row>
        <row r="10">
          <cell r="B10">
            <v>0</v>
          </cell>
          <cell r="C10">
            <v>0</v>
          </cell>
        </row>
        <row r="11">
          <cell r="B11">
            <v>116000</v>
          </cell>
          <cell r="C11">
            <v>81395</v>
          </cell>
        </row>
        <row r="12">
          <cell r="B12">
            <v>318498</v>
          </cell>
          <cell r="C12">
            <v>194888</v>
          </cell>
        </row>
        <row r="13">
          <cell r="B13">
            <v>206240</v>
          </cell>
          <cell r="C13">
            <v>135383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C17">
            <v>0</v>
          </cell>
        </row>
        <row r="18">
          <cell r="B18">
            <v>15000</v>
          </cell>
          <cell r="C18">
            <v>15000</v>
          </cell>
        </row>
        <row r="19">
          <cell r="B19">
            <v>2131000</v>
          </cell>
          <cell r="C19">
            <v>3378300</v>
          </cell>
        </row>
      </sheetData>
      <sheetData sheetId="19">
        <row r="8">
          <cell r="B8">
            <v>0</v>
          </cell>
          <cell r="C8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80000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20000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</sheetData>
      <sheetData sheetId="20">
        <row r="20">
          <cell r="B20">
            <v>848050</v>
          </cell>
          <cell r="C20">
            <v>2491347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2"/>
  <sheetViews>
    <sheetView zoomScale="90" zoomScaleNormal="90" zoomScalePageLayoutView="0" workbookViewId="0" topLeftCell="A1">
      <pane xSplit="2" ySplit="6" topLeftCell="I5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61" sqref="L61"/>
    </sheetView>
  </sheetViews>
  <sheetFormatPr defaultColWidth="9.140625" defaultRowHeight="21.75"/>
  <cols>
    <col min="1" max="1" width="0.13671875" style="267" customWidth="1"/>
    <col min="2" max="2" width="44.8515625" style="303" customWidth="1"/>
    <col min="3" max="3" width="14.140625" style="267" hidden="1" customWidth="1"/>
    <col min="4" max="5" width="14.28125" style="267" hidden="1" customWidth="1"/>
    <col min="6" max="6" width="13.8515625" style="267" hidden="1" customWidth="1"/>
    <col min="7" max="7" width="13.7109375" style="267" hidden="1" customWidth="1"/>
    <col min="8" max="8" width="0.13671875" style="309" hidden="1" customWidth="1"/>
    <col min="9" max="9" width="8.57421875" style="310" customWidth="1"/>
    <col min="10" max="11" width="12.57421875" style="309" customWidth="1"/>
    <col min="12" max="15" width="13.421875" style="267" customWidth="1"/>
    <col min="16" max="16" width="13.00390625" style="267" customWidth="1"/>
    <col min="17" max="19" width="12.57421875" style="267" customWidth="1"/>
    <col min="20" max="16384" width="9.140625" style="269" customWidth="1"/>
  </cols>
  <sheetData>
    <row r="1" spans="1:19" s="266" customFormat="1" ht="19.5" customHeight="1">
      <c r="A1" s="265"/>
      <c r="B1" s="789" t="s">
        <v>216</v>
      </c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</row>
    <row r="2" spans="1:19" s="266" customFormat="1" ht="19.5" customHeight="1">
      <c r="A2" s="265"/>
      <c r="B2" s="790" t="s">
        <v>48</v>
      </c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</row>
    <row r="3" spans="1:19" s="266" customFormat="1" ht="20.25" customHeight="1" thickBot="1">
      <c r="A3" s="265"/>
      <c r="B3" s="791" t="s">
        <v>524</v>
      </c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</row>
    <row r="4" spans="2:19" ht="21.75" customHeight="1">
      <c r="B4" s="792" t="s">
        <v>35</v>
      </c>
      <c r="C4" s="268"/>
      <c r="D4" s="804" t="s">
        <v>68</v>
      </c>
      <c r="E4" s="805"/>
      <c r="F4" s="806" t="s">
        <v>49</v>
      </c>
      <c r="G4" s="805"/>
      <c r="H4" s="630"/>
      <c r="I4" s="636" t="s">
        <v>81</v>
      </c>
      <c r="J4" s="797" t="s">
        <v>88</v>
      </c>
      <c r="K4" s="796"/>
      <c r="L4" s="795" t="s">
        <v>61</v>
      </c>
      <c r="M4" s="796"/>
      <c r="N4" s="795" t="s">
        <v>87</v>
      </c>
      <c r="O4" s="796"/>
      <c r="P4" s="795" t="s">
        <v>63</v>
      </c>
      <c r="Q4" s="796"/>
      <c r="R4" s="795" t="s">
        <v>89</v>
      </c>
      <c r="S4" s="796"/>
    </row>
    <row r="5" spans="2:19" ht="21.75" customHeight="1">
      <c r="B5" s="793"/>
      <c r="C5" s="270"/>
      <c r="D5" s="271"/>
      <c r="E5" s="270"/>
      <c r="F5" s="272"/>
      <c r="G5" s="270"/>
      <c r="H5" s="631"/>
      <c r="I5" s="637"/>
      <c r="J5" s="798" t="s">
        <v>525</v>
      </c>
      <c r="K5" s="799"/>
      <c r="L5" s="801" t="s">
        <v>525</v>
      </c>
      <c r="M5" s="799"/>
      <c r="N5" s="802" t="s">
        <v>90</v>
      </c>
      <c r="O5" s="803"/>
      <c r="P5" s="801" t="s">
        <v>525</v>
      </c>
      <c r="Q5" s="799"/>
      <c r="R5" s="800" t="s">
        <v>627</v>
      </c>
      <c r="S5" s="799"/>
    </row>
    <row r="6" spans="1:19" s="266" customFormat="1" ht="19.5" thickBot="1">
      <c r="A6" s="267"/>
      <c r="B6" s="794"/>
      <c r="C6" s="273" t="s">
        <v>51</v>
      </c>
      <c r="D6" s="274" t="s">
        <v>50</v>
      </c>
      <c r="E6" s="273" t="s">
        <v>51</v>
      </c>
      <c r="F6" s="274" t="s">
        <v>50</v>
      </c>
      <c r="G6" s="273" t="s">
        <v>51</v>
      </c>
      <c r="H6" s="632" t="s">
        <v>51</v>
      </c>
      <c r="I6" s="638" t="s">
        <v>82</v>
      </c>
      <c r="J6" s="634" t="s">
        <v>79</v>
      </c>
      <c r="K6" s="275" t="s">
        <v>51</v>
      </c>
      <c r="L6" s="274" t="s">
        <v>50</v>
      </c>
      <c r="M6" s="273" t="s">
        <v>51</v>
      </c>
      <c r="N6" s="274" t="s">
        <v>50</v>
      </c>
      <c r="O6" s="276" t="s">
        <v>51</v>
      </c>
      <c r="P6" s="274" t="s">
        <v>50</v>
      </c>
      <c r="Q6" s="276" t="s">
        <v>51</v>
      </c>
      <c r="R6" s="274" t="s">
        <v>50</v>
      </c>
      <c r="S6" s="273" t="s">
        <v>51</v>
      </c>
    </row>
    <row r="7" spans="2:19" ht="19.5" customHeight="1">
      <c r="B7" s="277" t="s">
        <v>259</v>
      </c>
      <c r="C7" s="278"/>
      <c r="D7" s="279"/>
      <c r="E7" s="278"/>
      <c r="F7" s="280" t="e">
        <f>#REF!+D7-C7-E7</f>
        <v>#REF!</v>
      </c>
      <c r="G7" s="278"/>
      <c r="H7" s="440"/>
      <c r="I7" s="639" t="s">
        <v>265</v>
      </c>
      <c r="J7" s="635">
        <v>3921949.93</v>
      </c>
      <c r="K7" s="281"/>
      <c r="L7" s="280"/>
      <c r="M7" s="278"/>
      <c r="N7" s="282">
        <v>3921949.93</v>
      </c>
      <c r="O7" s="281"/>
      <c r="P7" s="282"/>
      <c r="Q7" s="281"/>
      <c r="R7" s="280">
        <f>N7</f>
        <v>3921949.93</v>
      </c>
      <c r="S7" s="278"/>
    </row>
    <row r="8" spans="2:19" ht="19.5" customHeight="1">
      <c r="B8" s="277" t="s">
        <v>526</v>
      </c>
      <c r="C8" s="278"/>
      <c r="D8" s="279"/>
      <c r="E8" s="278"/>
      <c r="F8" s="280" t="e">
        <f>#REF!+D8-C8-E8</f>
        <v>#REF!</v>
      </c>
      <c r="G8" s="278"/>
      <c r="H8" s="440"/>
      <c r="I8" s="639" t="s">
        <v>265</v>
      </c>
      <c r="J8" s="635">
        <v>4630099.5</v>
      </c>
      <c r="K8" s="281"/>
      <c r="L8" s="280"/>
      <c r="M8" s="278"/>
      <c r="N8" s="282">
        <v>4630099.5</v>
      </c>
      <c r="O8" s="281"/>
      <c r="P8" s="282"/>
      <c r="Q8" s="281"/>
      <c r="R8" s="280">
        <f>N8</f>
        <v>4630099.5</v>
      </c>
      <c r="S8" s="278"/>
    </row>
    <row r="9" spans="2:19" ht="19.5" customHeight="1">
      <c r="B9" s="277" t="s">
        <v>527</v>
      </c>
      <c r="C9" s="278"/>
      <c r="D9" s="279"/>
      <c r="E9" s="278"/>
      <c r="F9" s="280"/>
      <c r="G9" s="278"/>
      <c r="H9" s="440"/>
      <c r="I9" s="639" t="s">
        <v>265</v>
      </c>
      <c r="J9" s="635">
        <v>166319.67</v>
      </c>
      <c r="K9" s="281"/>
      <c r="L9" s="280"/>
      <c r="M9" s="278"/>
      <c r="N9" s="282">
        <v>166319.67</v>
      </c>
      <c r="O9" s="281"/>
      <c r="P9" s="282"/>
      <c r="Q9" s="281"/>
      <c r="R9" s="280">
        <f>N9</f>
        <v>166319.67</v>
      </c>
      <c r="S9" s="278"/>
    </row>
    <row r="10" spans="2:19" ht="19.5" customHeight="1">
      <c r="B10" s="277" t="s">
        <v>260</v>
      </c>
      <c r="C10" s="278"/>
      <c r="D10" s="279"/>
      <c r="E10" s="278"/>
      <c r="F10" s="280" t="e">
        <f>#REF!+D10-C10-E10</f>
        <v>#REF!</v>
      </c>
      <c r="G10" s="278"/>
      <c r="H10" s="440"/>
      <c r="I10" s="639" t="s">
        <v>266</v>
      </c>
      <c r="J10" s="635">
        <v>2069436.15</v>
      </c>
      <c r="K10" s="281"/>
      <c r="L10" s="280"/>
      <c r="M10" s="278"/>
      <c r="N10" s="282">
        <v>2069436.15</v>
      </c>
      <c r="O10" s="281"/>
      <c r="P10" s="282"/>
      <c r="Q10" s="281"/>
      <c r="R10" s="280">
        <f>SUM(N10)</f>
        <v>2069436.15</v>
      </c>
      <c r="S10" s="278"/>
    </row>
    <row r="11" spans="2:19" ht="19.5" customHeight="1">
      <c r="B11" s="277" t="s">
        <v>261</v>
      </c>
      <c r="C11" s="278"/>
      <c r="D11" s="283"/>
      <c r="E11" s="278"/>
      <c r="F11" s="280"/>
      <c r="G11" s="278"/>
      <c r="H11" s="440"/>
      <c r="I11" s="639" t="s">
        <v>267</v>
      </c>
      <c r="J11" s="635">
        <v>6050</v>
      </c>
      <c r="K11" s="281"/>
      <c r="L11" s="280"/>
      <c r="M11" s="278"/>
      <c r="N11" s="282">
        <v>6050</v>
      </c>
      <c r="O11" s="281"/>
      <c r="P11" s="282"/>
      <c r="Q11" s="281"/>
      <c r="R11" s="280">
        <v>6050</v>
      </c>
      <c r="S11" s="278"/>
    </row>
    <row r="12" spans="2:19" ht="19.5" customHeight="1">
      <c r="B12" s="277" t="s">
        <v>80</v>
      </c>
      <c r="C12" s="278"/>
      <c r="D12" s="283"/>
      <c r="E12" s="278"/>
      <c r="F12" s="280" t="e">
        <f>#REF!+D12-C12-E12</f>
        <v>#REF!</v>
      </c>
      <c r="G12" s="284"/>
      <c r="H12" s="440"/>
      <c r="I12" s="639" t="s">
        <v>268</v>
      </c>
      <c r="J12" s="635">
        <v>1417.77</v>
      </c>
      <c r="K12" s="281"/>
      <c r="L12" s="280"/>
      <c r="M12" s="278"/>
      <c r="N12" s="282">
        <v>1417.77</v>
      </c>
      <c r="O12" s="281"/>
      <c r="P12" s="282"/>
      <c r="Q12" s="281"/>
      <c r="R12" s="280">
        <v>1417.77</v>
      </c>
      <c r="S12" s="278"/>
    </row>
    <row r="13" spans="2:19" ht="19.5" customHeight="1">
      <c r="B13" s="277" t="s">
        <v>344</v>
      </c>
      <c r="C13" s="278"/>
      <c r="D13" s="283"/>
      <c r="E13" s="278"/>
      <c r="F13" s="280"/>
      <c r="G13" s="284"/>
      <c r="H13" s="440"/>
      <c r="I13" s="639" t="s">
        <v>304</v>
      </c>
      <c r="J13" s="635">
        <v>200</v>
      </c>
      <c r="K13" s="281"/>
      <c r="L13" s="280"/>
      <c r="M13" s="278"/>
      <c r="N13" s="282">
        <v>200</v>
      </c>
      <c r="O13" s="281"/>
      <c r="P13" s="282"/>
      <c r="Q13" s="281"/>
      <c r="R13" s="280">
        <v>200</v>
      </c>
      <c r="S13" s="278"/>
    </row>
    <row r="14" spans="2:19" ht="19.5" customHeight="1">
      <c r="B14" s="277" t="s">
        <v>345</v>
      </c>
      <c r="C14" s="278"/>
      <c r="D14" s="283"/>
      <c r="E14" s="278"/>
      <c r="F14" s="280"/>
      <c r="G14" s="284"/>
      <c r="H14" s="440"/>
      <c r="I14" s="639" t="s">
        <v>307</v>
      </c>
      <c r="J14" s="635">
        <v>500</v>
      </c>
      <c r="K14" s="281"/>
      <c r="L14" s="280"/>
      <c r="M14" s="278"/>
      <c r="N14" s="282">
        <v>500</v>
      </c>
      <c r="O14" s="281"/>
      <c r="P14" s="282"/>
      <c r="Q14" s="281"/>
      <c r="R14" s="280">
        <v>500</v>
      </c>
      <c r="S14" s="278"/>
    </row>
    <row r="15" spans="2:19" ht="19.5" customHeight="1">
      <c r="B15" s="277" t="s">
        <v>548</v>
      </c>
      <c r="C15" s="278"/>
      <c r="D15" s="283"/>
      <c r="E15" s="278"/>
      <c r="F15" s="280"/>
      <c r="G15" s="284"/>
      <c r="H15" s="440"/>
      <c r="I15" s="639" t="s">
        <v>307</v>
      </c>
      <c r="J15" s="635">
        <v>415</v>
      </c>
      <c r="K15" s="281"/>
      <c r="L15" s="280"/>
      <c r="M15" s="278"/>
      <c r="N15" s="282">
        <v>415</v>
      </c>
      <c r="O15" s="281"/>
      <c r="P15" s="282"/>
      <c r="Q15" s="281"/>
      <c r="R15" s="280">
        <v>415</v>
      </c>
      <c r="S15" s="278"/>
    </row>
    <row r="16" spans="2:19" ht="19.5" customHeight="1">
      <c r="B16" s="277" t="s">
        <v>269</v>
      </c>
      <c r="C16" s="278"/>
      <c r="D16" s="283"/>
      <c r="E16" s="278"/>
      <c r="F16" s="280" t="e">
        <f>#REF!+D16-C16-E16</f>
        <v>#REF!</v>
      </c>
      <c r="G16" s="284"/>
      <c r="H16" s="440"/>
      <c r="I16" s="639" t="s">
        <v>270</v>
      </c>
      <c r="J16" s="635">
        <v>0</v>
      </c>
      <c r="K16" s="281"/>
      <c r="L16" s="280"/>
      <c r="M16" s="278"/>
      <c r="N16" s="282"/>
      <c r="O16" s="281"/>
      <c r="P16" s="282"/>
      <c r="Q16" s="281"/>
      <c r="R16" s="280"/>
      <c r="S16" s="278"/>
    </row>
    <row r="17" spans="2:19" ht="19.5" customHeight="1">
      <c r="B17" s="277" t="s">
        <v>83</v>
      </c>
      <c r="C17" s="278"/>
      <c r="D17" s="283"/>
      <c r="E17" s="278"/>
      <c r="F17" s="282"/>
      <c r="G17" s="284"/>
      <c r="H17" s="440"/>
      <c r="I17" s="639" t="s">
        <v>271</v>
      </c>
      <c r="J17" s="635">
        <v>15400</v>
      </c>
      <c r="K17" s="281"/>
      <c r="L17" s="280"/>
      <c r="M17" s="278"/>
      <c r="N17" s="282">
        <v>15400</v>
      </c>
      <c r="O17" s="281"/>
      <c r="P17" s="282"/>
      <c r="Q17" s="281"/>
      <c r="R17" s="280">
        <v>15400</v>
      </c>
      <c r="S17" s="278"/>
    </row>
    <row r="18" spans="2:19" ht="19.5" customHeight="1">
      <c r="B18" s="277" t="s">
        <v>528</v>
      </c>
      <c r="C18" s="278"/>
      <c r="D18" s="283"/>
      <c r="E18" s="278"/>
      <c r="F18" s="282"/>
      <c r="G18" s="284"/>
      <c r="H18" s="440"/>
      <c r="I18" s="639" t="s">
        <v>307</v>
      </c>
      <c r="J18" s="635">
        <v>163900</v>
      </c>
      <c r="K18" s="281"/>
      <c r="L18" s="280"/>
      <c r="M18" s="278"/>
      <c r="N18" s="282">
        <v>163900</v>
      </c>
      <c r="O18" s="281"/>
      <c r="P18" s="282"/>
      <c r="Q18" s="281"/>
      <c r="R18" s="280">
        <v>163900</v>
      </c>
      <c r="S18" s="278"/>
    </row>
    <row r="19" spans="2:19" ht="19.5" customHeight="1">
      <c r="B19" s="277" t="s">
        <v>84</v>
      </c>
      <c r="C19" s="278"/>
      <c r="D19" s="283"/>
      <c r="E19" s="278"/>
      <c r="F19" s="283"/>
      <c r="G19" s="284" t="e">
        <f>C19+E19-#REF!-D19</f>
        <v>#REF!</v>
      </c>
      <c r="H19" s="440"/>
      <c r="I19" s="640" t="s">
        <v>272</v>
      </c>
      <c r="J19" s="293">
        <v>243898</v>
      </c>
      <c r="K19" s="278"/>
      <c r="L19" s="279"/>
      <c r="M19" s="278"/>
      <c r="N19" s="283">
        <v>243898</v>
      </c>
      <c r="O19" s="278"/>
      <c r="P19" s="283"/>
      <c r="Q19" s="278">
        <f aca="true" t="shared" si="0" ref="Q19:Q41">N19</f>
        <v>243898</v>
      </c>
      <c r="R19" s="279"/>
      <c r="S19" s="278"/>
    </row>
    <row r="20" spans="2:19" ht="19.5" customHeight="1">
      <c r="B20" s="277" t="s">
        <v>84</v>
      </c>
      <c r="C20" s="278"/>
      <c r="D20" s="279"/>
      <c r="E20" s="278"/>
      <c r="F20" s="279"/>
      <c r="G20" s="284" t="e">
        <f>C20+E20-#REF!-D20</f>
        <v>#REF!</v>
      </c>
      <c r="H20" s="440"/>
      <c r="I20" s="640" t="s">
        <v>273</v>
      </c>
      <c r="J20" s="293">
        <v>73923</v>
      </c>
      <c r="K20" s="278"/>
      <c r="L20" s="279"/>
      <c r="M20" s="278"/>
      <c r="N20" s="283">
        <v>73923</v>
      </c>
      <c r="O20" s="278"/>
      <c r="P20" s="283"/>
      <c r="Q20" s="278">
        <f t="shared" si="0"/>
        <v>73923</v>
      </c>
      <c r="R20" s="279"/>
      <c r="S20" s="278"/>
    </row>
    <row r="21" spans="2:19" ht="19.5" customHeight="1">
      <c r="B21" s="277" t="s">
        <v>84</v>
      </c>
      <c r="C21" s="278"/>
      <c r="D21" s="279"/>
      <c r="E21" s="278"/>
      <c r="F21" s="279"/>
      <c r="G21" s="284" t="e">
        <f>C21+E21-#REF!-D21</f>
        <v>#REF!</v>
      </c>
      <c r="H21" s="440"/>
      <c r="I21" s="640" t="s">
        <v>274</v>
      </c>
      <c r="J21" s="293">
        <v>2051846</v>
      </c>
      <c r="K21" s="278"/>
      <c r="L21" s="279" t="s">
        <v>539</v>
      </c>
      <c r="M21" s="278"/>
      <c r="N21" s="283">
        <v>2125335</v>
      </c>
      <c r="O21" s="278"/>
      <c r="P21" s="283"/>
      <c r="Q21" s="278">
        <f t="shared" si="0"/>
        <v>2125335</v>
      </c>
      <c r="R21" s="279"/>
      <c r="S21" s="278"/>
    </row>
    <row r="22" spans="2:19" ht="19.5" customHeight="1">
      <c r="B22" s="277" t="s">
        <v>262</v>
      </c>
      <c r="C22" s="278"/>
      <c r="D22" s="279"/>
      <c r="E22" s="278"/>
      <c r="F22" s="279"/>
      <c r="G22" s="284" t="e">
        <f>C22+E22-#REF!-D22</f>
        <v>#REF!</v>
      </c>
      <c r="H22" s="440"/>
      <c r="I22" s="640" t="s">
        <v>275</v>
      </c>
      <c r="J22" s="293">
        <v>1652504</v>
      </c>
      <c r="K22" s="278"/>
      <c r="L22" s="279"/>
      <c r="M22" s="278"/>
      <c r="N22" s="283">
        <v>1652504</v>
      </c>
      <c r="O22" s="278"/>
      <c r="P22" s="283"/>
      <c r="Q22" s="278">
        <f t="shared" si="0"/>
        <v>1652504</v>
      </c>
      <c r="R22" s="279"/>
      <c r="S22" s="278"/>
    </row>
    <row r="23" spans="1:19" ht="19.5" customHeight="1">
      <c r="A23" s="267">
        <v>2647624</v>
      </c>
      <c r="B23" s="277" t="s">
        <v>263</v>
      </c>
      <c r="C23" s="278"/>
      <c r="D23" s="279"/>
      <c r="E23" s="278"/>
      <c r="F23" s="279"/>
      <c r="G23" s="284" t="e">
        <f>C23+E23-#REF!-D23</f>
        <v>#REF!</v>
      </c>
      <c r="H23" s="440"/>
      <c r="I23" s="640" t="s">
        <v>276</v>
      </c>
      <c r="J23" s="293">
        <v>2647624</v>
      </c>
      <c r="K23" s="278"/>
      <c r="L23" s="279"/>
      <c r="M23" s="278"/>
      <c r="N23" s="283">
        <v>2647624</v>
      </c>
      <c r="O23" s="278"/>
      <c r="P23" s="283"/>
      <c r="Q23" s="278">
        <f t="shared" si="0"/>
        <v>2647624</v>
      </c>
      <c r="R23" s="279"/>
      <c r="S23" s="278"/>
    </row>
    <row r="24" spans="2:19" ht="19.5" customHeight="1">
      <c r="B24" s="277" t="s">
        <v>263</v>
      </c>
      <c r="C24" s="278"/>
      <c r="D24" s="279"/>
      <c r="E24" s="278"/>
      <c r="F24" s="279"/>
      <c r="G24" s="284" t="e">
        <f>C24+E24-#REF!-D24</f>
        <v>#REF!</v>
      </c>
      <c r="H24" s="440"/>
      <c r="I24" s="640" t="s">
        <v>277</v>
      </c>
      <c r="J24" s="293">
        <v>298920</v>
      </c>
      <c r="K24" s="278"/>
      <c r="L24" s="279"/>
      <c r="M24" s="278"/>
      <c r="N24" s="283">
        <v>298920</v>
      </c>
      <c r="O24" s="278"/>
      <c r="P24" s="283"/>
      <c r="Q24" s="278">
        <f t="shared" si="0"/>
        <v>298920</v>
      </c>
      <c r="R24" s="279"/>
      <c r="S24" s="278"/>
    </row>
    <row r="25" spans="2:19" ht="19.5" customHeight="1">
      <c r="B25" s="277" t="s">
        <v>54</v>
      </c>
      <c r="C25" s="278"/>
      <c r="D25" s="279"/>
      <c r="E25" s="278"/>
      <c r="F25" s="283"/>
      <c r="G25" s="284" t="e">
        <f>C25+E25-#REF!-D25</f>
        <v>#REF!</v>
      </c>
      <c r="H25" s="440"/>
      <c r="I25" s="640" t="s">
        <v>278</v>
      </c>
      <c r="J25" s="293">
        <v>301910.5</v>
      </c>
      <c r="K25" s="278"/>
      <c r="L25" s="280"/>
      <c r="M25" s="278"/>
      <c r="N25" s="283">
        <v>301910.5</v>
      </c>
      <c r="O25" s="278"/>
      <c r="P25" s="283"/>
      <c r="Q25" s="278">
        <f t="shared" si="0"/>
        <v>301910.5</v>
      </c>
      <c r="R25" s="279"/>
      <c r="S25" s="278"/>
    </row>
    <row r="26" spans="2:19" ht="19.5" customHeight="1">
      <c r="B26" s="277" t="s">
        <v>55</v>
      </c>
      <c r="C26" s="278"/>
      <c r="D26" s="279"/>
      <c r="E26" s="278"/>
      <c r="F26" s="285"/>
      <c r="G26" s="284" t="e">
        <f>C26+E26-#REF!-D26</f>
        <v>#REF!</v>
      </c>
      <c r="H26" s="440"/>
      <c r="I26" s="640" t="s">
        <v>279</v>
      </c>
      <c r="J26" s="293">
        <v>1722440.19</v>
      </c>
      <c r="K26" s="278"/>
      <c r="L26" s="279" t="s">
        <v>534</v>
      </c>
      <c r="M26" s="278"/>
      <c r="N26" s="283">
        <v>1727656.19</v>
      </c>
      <c r="O26" s="278"/>
      <c r="P26" s="283"/>
      <c r="Q26" s="278">
        <f t="shared" si="0"/>
        <v>1727656.19</v>
      </c>
      <c r="R26" s="279"/>
      <c r="S26" s="278"/>
    </row>
    <row r="27" spans="2:19" ht="19.5" customHeight="1">
      <c r="B27" s="277" t="s">
        <v>55</v>
      </c>
      <c r="C27" s="278"/>
      <c r="D27" s="283"/>
      <c r="E27" s="278"/>
      <c r="F27" s="279"/>
      <c r="G27" s="284" t="e">
        <f>C27+E27-#REF!-D27</f>
        <v>#REF!</v>
      </c>
      <c r="H27" s="440"/>
      <c r="I27" s="640" t="s">
        <v>280</v>
      </c>
      <c r="J27" s="293">
        <v>617206</v>
      </c>
      <c r="K27" s="278"/>
      <c r="L27" s="279" t="s">
        <v>533</v>
      </c>
      <c r="M27" s="278"/>
      <c r="N27" s="283">
        <v>627390</v>
      </c>
      <c r="O27" s="278"/>
      <c r="P27" s="283"/>
      <c r="Q27" s="278">
        <f t="shared" si="0"/>
        <v>627390</v>
      </c>
      <c r="R27" s="279"/>
      <c r="S27" s="278"/>
    </row>
    <row r="28" spans="2:19" ht="19.5" customHeight="1">
      <c r="B28" s="277" t="s">
        <v>55</v>
      </c>
      <c r="C28" s="278"/>
      <c r="D28" s="283"/>
      <c r="E28" s="278"/>
      <c r="F28" s="279"/>
      <c r="G28" s="284"/>
      <c r="H28" s="440"/>
      <c r="I28" s="640" t="s">
        <v>529</v>
      </c>
      <c r="J28" s="293">
        <v>7000</v>
      </c>
      <c r="K28" s="278"/>
      <c r="L28" s="279" t="s">
        <v>540</v>
      </c>
      <c r="M28" s="278"/>
      <c r="N28" s="283">
        <v>10500</v>
      </c>
      <c r="O28" s="278"/>
      <c r="P28" s="283"/>
      <c r="Q28" s="278">
        <f t="shared" si="0"/>
        <v>10500</v>
      </c>
      <c r="R28" s="279"/>
      <c r="S28" s="278"/>
    </row>
    <row r="29" spans="2:19" ht="19.5" customHeight="1">
      <c r="B29" s="277" t="s">
        <v>42</v>
      </c>
      <c r="C29" s="278"/>
      <c r="D29" s="283"/>
      <c r="E29" s="286"/>
      <c r="F29" s="279" t="e">
        <f>#REF!+D29-C29-E29</f>
        <v>#REF!</v>
      </c>
      <c r="G29" s="278"/>
      <c r="H29" s="440"/>
      <c r="I29" s="640" t="s">
        <v>281</v>
      </c>
      <c r="J29" s="293">
        <v>456455.54</v>
      </c>
      <c r="K29" s="278"/>
      <c r="L29" s="279"/>
      <c r="M29" s="278"/>
      <c r="N29" s="283">
        <v>456455.54</v>
      </c>
      <c r="O29" s="284"/>
      <c r="P29" s="283"/>
      <c r="Q29" s="284">
        <f t="shared" si="0"/>
        <v>456455.54</v>
      </c>
      <c r="R29" s="279"/>
      <c r="S29" s="278"/>
    </row>
    <row r="30" spans="2:19" ht="19.5" customHeight="1">
      <c r="B30" s="277" t="s">
        <v>42</v>
      </c>
      <c r="C30" s="278"/>
      <c r="D30" s="279"/>
      <c r="E30" s="278"/>
      <c r="F30" s="280" t="e">
        <f>#REF!+D30-C30-E30</f>
        <v>#REF!</v>
      </c>
      <c r="G30" s="278"/>
      <c r="H30" s="440"/>
      <c r="I30" s="639" t="s">
        <v>282</v>
      </c>
      <c r="J30" s="635">
        <v>134849.74</v>
      </c>
      <c r="K30" s="281"/>
      <c r="L30" s="280"/>
      <c r="M30" s="278"/>
      <c r="N30" s="283">
        <v>134849.74</v>
      </c>
      <c r="O30" s="284"/>
      <c r="P30" s="282"/>
      <c r="Q30" s="284">
        <f t="shared" si="0"/>
        <v>134849.74</v>
      </c>
      <c r="R30" s="279"/>
      <c r="S30" s="278"/>
    </row>
    <row r="31" spans="2:19" ht="19.5" customHeight="1">
      <c r="B31" s="277" t="s">
        <v>42</v>
      </c>
      <c r="C31" s="278"/>
      <c r="D31" s="279"/>
      <c r="E31" s="278"/>
      <c r="F31" s="280" t="e">
        <f>#REF!+D31-C31-E31</f>
        <v>#REF!</v>
      </c>
      <c r="G31" s="278"/>
      <c r="H31" s="440"/>
      <c r="I31" s="639" t="s">
        <v>283</v>
      </c>
      <c r="J31" s="635">
        <v>51000</v>
      </c>
      <c r="K31" s="281"/>
      <c r="L31" s="280"/>
      <c r="M31" s="278"/>
      <c r="N31" s="283">
        <v>51000</v>
      </c>
      <c r="O31" s="284"/>
      <c r="P31" s="282"/>
      <c r="Q31" s="284">
        <f t="shared" si="0"/>
        <v>51000</v>
      </c>
      <c r="R31" s="279"/>
      <c r="S31" s="278"/>
    </row>
    <row r="32" spans="2:19" ht="19.5" customHeight="1">
      <c r="B32" s="277" t="s">
        <v>56</v>
      </c>
      <c r="C32" s="278"/>
      <c r="D32" s="279"/>
      <c r="E32" s="278"/>
      <c r="F32" s="280" t="e">
        <f>#REF!+D32-C32-E32</f>
        <v>#REF!</v>
      </c>
      <c r="G32" s="278"/>
      <c r="H32" s="440"/>
      <c r="I32" s="639" t="s">
        <v>284</v>
      </c>
      <c r="J32" s="635">
        <v>344464.72</v>
      </c>
      <c r="K32" s="281"/>
      <c r="L32" s="280"/>
      <c r="M32" s="278"/>
      <c r="N32" s="283">
        <v>344464.72</v>
      </c>
      <c r="O32" s="284"/>
      <c r="P32" s="282"/>
      <c r="Q32" s="284">
        <f t="shared" si="0"/>
        <v>344464.72</v>
      </c>
      <c r="R32" s="279"/>
      <c r="S32" s="278"/>
    </row>
    <row r="33" spans="2:19" ht="19.5" customHeight="1">
      <c r="B33" s="277" t="s">
        <v>57</v>
      </c>
      <c r="C33" s="278"/>
      <c r="D33" s="279"/>
      <c r="E33" s="278"/>
      <c r="F33" s="280" t="e">
        <f>#REF!+D33-C33-E33</f>
        <v>#REF!</v>
      </c>
      <c r="G33" s="278"/>
      <c r="H33" s="440"/>
      <c r="I33" s="639" t="s">
        <v>285</v>
      </c>
      <c r="J33" s="635">
        <v>31000</v>
      </c>
      <c r="K33" s="281"/>
      <c r="L33" s="280"/>
      <c r="M33" s="278"/>
      <c r="N33" s="283">
        <v>31000</v>
      </c>
      <c r="O33" s="284"/>
      <c r="P33" s="282"/>
      <c r="Q33" s="284">
        <f t="shared" si="0"/>
        <v>31000</v>
      </c>
      <c r="R33" s="279"/>
      <c r="S33" s="278"/>
    </row>
    <row r="34" spans="2:19" ht="19.5" customHeight="1">
      <c r="B34" s="277" t="s">
        <v>57</v>
      </c>
      <c r="C34" s="278"/>
      <c r="D34" s="279"/>
      <c r="E34" s="278"/>
      <c r="F34" s="280" t="e">
        <f>#REF!+D34-C34-E34</f>
        <v>#REF!</v>
      </c>
      <c r="G34" s="278"/>
      <c r="H34" s="440"/>
      <c r="I34" s="639" t="s">
        <v>286</v>
      </c>
      <c r="J34" s="635">
        <v>130000</v>
      </c>
      <c r="K34" s="281"/>
      <c r="L34" s="280"/>
      <c r="M34" s="278"/>
      <c r="N34" s="283">
        <v>130000</v>
      </c>
      <c r="O34" s="284"/>
      <c r="P34" s="282"/>
      <c r="Q34" s="284">
        <f t="shared" si="0"/>
        <v>130000</v>
      </c>
      <c r="R34" s="279"/>
      <c r="S34" s="278"/>
    </row>
    <row r="35" spans="2:19" ht="19.5" customHeight="1">
      <c r="B35" s="277" t="s">
        <v>43</v>
      </c>
      <c r="C35" s="278"/>
      <c r="D35" s="279"/>
      <c r="E35" s="278"/>
      <c r="F35" s="280"/>
      <c r="G35" s="278"/>
      <c r="H35" s="440"/>
      <c r="I35" s="639" t="s">
        <v>543</v>
      </c>
      <c r="J35" s="635"/>
      <c r="K35" s="281"/>
      <c r="L35" s="280" t="s">
        <v>544</v>
      </c>
      <c r="M35" s="278"/>
      <c r="N35" s="283">
        <v>200000</v>
      </c>
      <c r="O35" s="284"/>
      <c r="P35" s="282"/>
      <c r="Q35" s="284">
        <f t="shared" si="0"/>
        <v>200000</v>
      </c>
      <c r="R35" s="279"/>
      <c r="S35" s="278"/>
    </row>
    <row r="36" spans="2:19" ht="19.5" customHeight="1">
      <c r="B36" s="277" t="s">
        <v>43</v>
      </c>
      <c r="C36" s="278"/>
      <c r="D36" s="279"/>
      <c r="E36" s="278"/>
      <c r="F36" s="280" t="e">
        <f>#REF!+D36-C36-E36</f>
        <v>#REF!</v>
      </c>
      <c r="G36" s="278"/>
      <c r="H36" s="440"/>
      <c r="I36" s="639" t="s">
        <v>287</v>
      </c>
      <c r="J36" s="635">
        <v>181703.3</v>
      </c>
      <c r="K36" s="281"/>
      <c r="L36" s="280" t="s">
        <v>545</v>
      </c>
      <c r="M36" s="278"/>
      <c r="N36" s="283">
        <v>226703.3</v>
      </c>
      <c r="O36" s="284"/>
      <c r="P36" s="282"/>
      <c r="Q36" s="284">
        <f t="shared" si="0"/>
        <v>226703.3</v>
      </c>
      <c r="R36" s="279"/>
      <c r="S36" s="278"/>
    </row>
    <row r="37" spans="2:19" ht="19.5" customHeight="1">
      <c r="B37" s="277" t="s">
        <v>43</v>
      </c>
      <c r="C37" s="278"/>
      <c r="D37" s="279"/>
      <c r="E37" s="278"/>
      <c r="F37" s="280"/>
      <c r="G37" s="278"/>
      <c r="H37" s="440"/>
      <c r="I37" s="639" t="s">
        <v>530</v>
      </c>
      <c r="J37" s="635">
        <v>999900</v>
      </c>
      <c r="K37" s="281"/>
      <c r="L37" s="280"/>
      <c r="M37" s="278"/>
      <c r="N37" s="283">
        <v>999900</v>
      </c>
      <c r="O37" s="284"/>
      <c r="P37" s="282"/>
      <c r="Q37" s="284">
        <f t="shared" si="0"/>
        <v>999900</v>
      </c>
      <c r="R37" s="279"/>
      <c r="S37" s="278"/>
    </row>
    <row r="38" spans="2:19" ht="19.5" customHeight="1">
      <c r="B38" s="277" t="s">
        <v>31</v>
      </c>
      <c r="C38" s="278"/>
      <c r="D38" s="279"/>
      <c r="E38" s="278"/>
      <c r="F38" s="280" t="e">
        <f>#REF!+D38-C38-E38</f>
        <v>#REF!</v>
      </c>
      <c r="G38" s="278"/>
      <c r="H38" s="440"/>
      <c r="I38" s="639" t="s">
        <v>531</v>
      </c>
      <c r="J38" s="635">
        <v>89000</v>
      </c>
      <c r="K38" s="281"/>
      <c r="L38" s="280" t="s">
        <v>546</v>
      </c>
      <c r="M38" s="278"/>
      <c r="N38" s="283">
        <v>1462000</v>
      </c>
      <c r="O38" s="284"/>
      <c r="P38" s="282"/>
      <c r="Q38" s="284">
        <f t="shared" si="0"/>
        <v>1462000</v>
      </c>
      <c r="R38" s="279"/>
      <c r="S38" s="278"/>
    </row>
    <row r="39" spans="2:19" ht="19.5" customHeight="1">
      <c r="B39" s="277" t="s">
        <v>31</v>
      </c>
      <c r="C39" s="278"/>
      <c r="D39" s="279"/>
      <c r="E39" s="278"/>
      <c r="F39" s="280"/>
      <c r="G39" s="278"/>
      <c r="H39" s="440"/>
      <c r="I39" s="639" t="s">
        <v>288</v>
      </c>
      <c r="J39" s="635">
        <v>184000</v>
      </c>
      <c r="K39" s="281"/>
      <c r="L39" s="280" t="s">
        <v>542</v>
      </c>
      <c r="M39" s="278"/>
      <c r="N39" s="283">
        <v>1794300</v>
      </c>
      <c r="O39" s="284"/>
      <c r="P39" s="282"/>
      <c r="Q39" s="284">
        <f t="shared" si="0"/>
        <v>1794300</v>
      </c>
      <c r="R39" s="279"/>
      <c r="S39" s="278"/>
    </row>
    <row r="40" spans="2:19" ht="19.5" customHeight="1">
      <c r="B40" s="277" t="s">
        <v>31</v>
      </c>
      <c r="C40" s="278"/>
      <c r="D40" s="279"/>
      <c r="E40" s="278"/>
      <c r="F40" s="280"/>
      <c r="G40" s="278"/>
      <c r="H40" s="440"/>
      <c r="I40" s="639" t="s">
        <v>289</v>
      </c>
      <c r="J40" s="635">
        <v>1993555</v>
      </c>
      <c r="K40" s="281"/>
      <c r="L40" s="280"/>
      <c r="M40" s="278"/>
      <c r="N40" s="283">
        <v>1993555</v>
      </c>
      <c r="O40" s="284"/>
      <c r="P40" s="282"/>
      <c r="Q40" s="284">
        <f t="shared" si="0"/>
        <v>1993555</v>
      </c>
      <c r="R40" s="279"/>
      <c r="S40" s="278"/>
    </row>
    <row r="41" spans="2:19" ht="19.5" customHeight="1">
      <c r="B41" s="277" t="s">
        <v>18</v>
      </c>
      <c r="C41" s="278"/>
      <c r="D41" s="279"/>
      <c r="E41" s="278"/>
      <c r="F41" s="280" t="e">
        <f>#REF!+D41-C41-E41</f>
        <v>#REF!</v>
      </c>
      <c r="G41" s="278"/>
      <c r="H41" s="440"/>
      <c r="I41" s="639" t="s">
        <v>290</v>
      </c>
      <c r="J41" s="635"/>
      <c r="K41" s="281">
        <v>0</v>
      </c>
      <c r="L41" s="280"/>
      <c r="M41" s="278" t="s">
        <v>547</v>
      </c>
      <c r="N41" s="283"/>
      <c r="O41" s="284">
        <v>3228300</v>
      </c>
      <c r="P41" s="282"/>
      <c r="Q41" s="284">
        <f t="shared" si="0"/>
        <v>0</v>
      </c>
      <c r="R41" s="279"/>
      <c r="S41" s="278">
        <v>3228300</v>
      </c>
    </row>
    <row r="42" spans="2:19" ht="19.5" customHeight="1">
      <c r="B42" s="277" t="s">
        <v>264</v>
      </c>
      <c r="C42" s="278"/>
      <c r="D42" s="279"/>
      <c r="E42" s="278"/>
      <c r="F42" s="280"/>
      <c r="G42" s="278"/>
      <c r="H42" s="440"/>
      <c r="I42" s="639" t="s">
        <v>291</v>
      </c>
      <c r="J42" s="635"/>
      <c r="K42" s="281">
        <v>22749</v>
      </c>
      <c r="L42" s="280" t="s">
        <v>538</v>
      </c>
      <c r="M42" s="287"/>
      <c r="N42" s="288"/>
      <c r="O42" s="289">
        <v>0</v>
      </c>
      <c r="P42" s="282"/>
      <c r="Q42" s="290"/>
      <c r="R42" s="279"/>
      <c r="S42" s="291">
        <v>0</v>
      </c>
    </row>
    <row r="43" spans="2:19" ht="19.5" customHeight="1">
      <c r="B43" s="277" t="s">
        <v>535</v>
      </c>
      <c r="C43" s="278"/>
      <c r="D43" s="279"/>
      <c r="E43" s="278"/>
      <c r="F43" s="280"/>
      <c r="G43" s="278"/>
      <c r="H43" s="440"/>
      <c r="I43" s="639" t="s">
        <v>536</v>
      </c>
      <c r="J43" s="635"/>
      <c r="K43" s="281"/>
      <c r="L43" s="280"/>
      <c r="M43" s="287" t="s">
        <v>537</v>
      </c>
      <c r="N43" s="288"/>
      <c r="O43" s="289">
        <v>15400</v>
      </c>
      <c r="P43" s="282"/>
      <c r="Q43" s="290"/>
      <c r="R43" s="279"/>
      <c r="S43" s="291">
        <v>15400</v>
      </c>
    </row>
    <row r="44" spans="2:19" ht="19.5" customHeight="1">
      <c r="B44" s="277" t="s">
        <v>53</v>
      </c>
      <c r="C44" s="278"/>
      <c r="D44" s="279"/>
      <c r="E44" s="278"/>
      <c r="F44" s="279"/>
      <c r="G44" s="278"/>
      <c r="H44" s="440"/>
      <c r="I44" s="640" t="s">
        <v>292</v>
      </c>
      <c r="J44" s="293"/>
      <c r="K44" s="278">
        <v>449597.91</v>
      </c>
      <c r="L44" s="279"/>
      <c r="M44" s="287" t="s">
        <v>538</v>
      </c>
      <c r="N44" s="288"/>
      <c r="O44" s="290">
        <v>472346.91</v>
      </c>
      <c r="P44" s="282"/>
      <c r="Q44" s="290">
        <v>3726330.74</v>
      </c>
      <c r="R44" s="279"/>
      <c r="S44" s="291">
        <f>Q44+O44</f>
        <v>4198677.65</v>
      </c>
    </row>
    <row r="45" spans="2:19" ht="19.5" customHeight="1">
      <c r="B45" s="277" t="s">
        <v>33</v>
      </c>
      <c r="C45" s="278"/>
      <c r="D45" s="279"/>
      <c r="E45" s="278"/>
      <c r="F45" s="279"/>
      <c r="G45" s="278"/>
      <c r="H45" s="440"/>
      <c r="I45" s="640" t="s">
        <v>293</v>
      </c>
      <c r="J45" s="293"/>
      <c r="K45" s="278">
        <v>1455176.6</v>
      </c>
      <c r="L45" s="279"/>
      <c r="M45" s="291"/>
      <c r="N45" s="288"/>
      <c r="O45" s="290">
        <v>1455176.6</v>
      </c>
      <c r="P45" s="282"/>
      <c r="Q45" s="290">
        <v>1242110.25</v>
      </c>
      <c r="R45" s="279"/>
      <c r="S45" s="291">
        <f>O45+Q45</f>
        <v>2697286.85</v>
      </c>
    </row>
    <row r="46" spans="2:19" ht="19.5" customHeight="1">
      <c r="B46" s="277" t="s">
        <v>85</v>
      </c>
      <c r="C46" s="278"/>
      <c r="D46" s="279"/>
      <c r="E46" s="278"/>
      <c r="F46" s="279"/>
      <c r="G46" s="278"/>
      <c r="H46" s="440"/>
      <c r="I46" s="640" t="s">
        <v>294</v>
      </c>
      <c r="J46" s="293"/>
      <c r="K46" s="610">
        <v>22502329.98</v>
      </c>
      <c r="L46" s="279"/>
      <c r="M46" s="278"/>
      <c r="N46" s="288"/>
      <c r="O46" s="290">
        <f>22502329.98</f>
        <v>22502329.98</v>
      </c>
      <c r="P46" s="282">
        <f>O46</f>
        <v>22502329.98</v>
      </c>
      <c r="Q46" s="290"/>
      <c r="R46" s="279"/>
      <c r="S46" s="291"/>
    </row>
    <row r="47" spans="2:19" ht="19.5" customHeight="1">
      <c r="B47" s="277" t="s">
        <v>86</v>
      </c>
      <c r="C47" s="278"/>
      <c r="D47" s="279"/>
      <c r="E47" s="278"/>
      <c r="F47" s="279" t="e">
        <f>#REF!+D47-C47-E47</f>
        <v>#REF!</v>
      </c>
      <c r="G47" s="278"/>
      <c r="H47" s="440"/>
      <c r="I47" s="640" t="s">
        <v>295</v>
      </c>
      <c r="J47" s="293"/>
      <c r="K47" s="292">
        <v>759034.52</v>
      </c>
      <c r="L47" s="280"/>
      <c r="M47" s="278"/>
      <c r="N47" s="283"/>
      <c r="O47" s="284">
        <f>ประกอบกระดาษทำการ2!H13</f>
        <v>428814.85</v>
      </c>
      <c r="P47" s="283"/>
      <c r="Q47" s="284"/>
      <c r="R47" s="279"/>
      <c r="S47" s="278">
        <f>O47</f>
        <v>428814.85</v>
      </c>
    </row>
    <row r="48" spans="2:19" ht="19.5" customHeight="1">
      <c r="B48" s="277" t="s">
        <v>625</v>
      </c>
      <c r="C48" s="602"/>
      <c r="D48" s="283"/>
      <c r="E48" s="278"/>
      <c r="F48" s="283"/>
      <c r="G48" s="278"/>
      <c r="H48" s="440"/>
      <c r="I48" s="640"/>
      <c r="J48" s="293"/>
      <c r="K48" s="292"/>
      <c r="L48" s="280"/>
      <c r="M48" s="278" t="s">
        <v>541</v>
      </c>
      <c r="N48" s="283"/>
      <c r="O48" s="284">
        <f>ประกอบกระดาษทำการ2!H36</f>
        <v>76989</v>
      </c>
      <c r="P48" s="283"/>
      <c r="Q48" s="284"/>
      <c r="R48" s="283"/>
      <c r="S48" s="278">
        <f>76989</f>
        <v>76989</v>
      </c>
    </row>
    <row r="49" spans="2:19" ht="19.5" customHeight="1">
      <c r="B49" s="277" t="s">
        <v>616</v>
      </c>
      <c r="C49" s="602"/>
      <c r="D49" s="283"/>
      <c r="E49" s="278"/>
      <c r="F49" s="283"/>
      <c r="G49" s="278"/>
      <c r="H49" s="440"/>
      <c r="I49" s="640" t="s">
        <v>332</v>
      </c>
      <c r="J49" s="293"/>
      <c r="K49" s="278"/>
      <c r="L49" s="279"/>
      <c r="M49" s="278"/>
      <c r="N49" s="283"/>
      <c r="O49" s="284">
        <f>ประกอบกระดาษทำการ2!H21</f>
        <v>330219.67000000004</v>
      </c>
      <c r="P49" s="283"/>
      <c r="Q49" s="284"/>
      <c r="R49" s="283"/>
      <c r="S49" s="278">
        <f>O49</f>
        <v>330219.67000000004</v>
      </c>
    </row>
    <row r="50" spans="2:19" ht="19.5" customHeight="1" thickBot="1">
      <c r="B50" s="643"/>
      <c r="C50" s="642"/>
      <c r="D50" s="295"/>
      <c r="E50" s="294"/>
      <c r="F50" s="295"/>
      <c r="G50" s="296"/>
      <c r="H50" s="633"/>
      <c r="I50" s="641"/>
      <c r="J50" s="297"/>
      <c r="K50" s="294"/>
      <c r="L50" s="295"/>
      <c r="M50" s="294"/>
      <c r="N50" s="295"/>
      <c r="O50" s="298"/>
      <c r="P50" s="295"/>
      <c r="Q50" s="298"/>
      <c r="R50" s="295"/>
      <c r="S50" s="299"/>
    </row>
    <row r="51" spans="1:20" s="302" customFormat="1" ht="19.5" customHeight="1" thickBot="1">
      <c r="A51" s="300"/>
      <c r="B51" s="737" t="s">
        <v>58</v>
      </c>
      <c r="C51" s="738">
        <f aca="true" t="shared" si="1" ref="C51:H51">SUM(C7:C47)</f>
        <v>0</v>
      </c>
      <c r="D51" s="739">
        <f t="shared" si="1"/>
        <v>0</v>
      </c>
      <c r="E51" s="740">
        <f t="shared" si="1"/>
        <v>0</v>
      </c>
      <c r="F51" s="739" t="e">
        <f t="shared" si="1"/>
        <v>#REF!</v>
      </c>
      <c r="G51" s="740" t="e">
        <f t="shared" si="1"/>
        <v>#REF!</v>
      </c>
      <c r="H51" s="741">
        <f t="shared" si="1"/>
        <v>0</v>
      </c>
      <c r="I51" s="742"/>
      <c r="J51" s="728">
        <f>SUM(J7:J49)</f>
        <v>25188888.009999998</v>
      </c>
      <c r="K51" s="729">
        <f>SUM(K7:K49)</f>
        <v>25188888.01</v>
      </c>
      <c r="L51" s="730">
        <v>3343438</v>
      </c>
      <c r="M51" s="731">
        <v>3343438</v>
      </c>
      <c r="N51" s="732">
        <f>SUM(N7:N49)</f>
        <v>28509577.009999998</v>
      </c>
      <c r="O51" s="731">
        <f>SUM(O7:O50)</f>
        <v>28509577.010000005</v>
      </c>
      <c r="P51" s="733">
        <f>SUM(P7:P47)</f>
        <v>22502329.98</v>
      </c>
      <c r="Q51" s="734">
        <f>SUM(Q7:Q50)</f>
        <v>22502329.980000004</v>
      </c>
      <c r="R51" s="735">
        <f>SUM(R7:R45)</f>
        <v>10975688.02</v>
      </c>
      <c r="S51" s="736">
        <f>SUM(S7:S50)</f>
        <v>10975688.02</v>
      </c>
      <c r="T51" s="301"/>
    </row>
    <row r="52" spans="1:20" s="727" customFormat="1" ht="19.5" thickTop="1">
      <c r="A52" s="743"/>
      <c r="B52" s="757"/>
      <c r="C52" s="297" t="e">
        <f>#REF!-C51</f>
        <v>#REF!</v>
      </c>
      <c r="D52" s="304"/>
      <c r="E52" s="304">
        <f>D51-E51</f>
        <v>0</v>
      </c>
      <c r="F52" s="304"/>
      <c r="G52" s="304" t="e">
        <f>F51-G51</f>
        <v>#REF!</v>
      </c>
      <c r="H52" s="304" t="e">
        <f>#REF!-H51</f>
        <v>#REF!</v>
      </c>
      <c r="I52" s="305"/>
      <c r="J52" s="306"/>
      <c r="K52" s="306"/>
      <c r="L52" s="306"/>
      <c r="M52" s="306">
        <f>L51-M51</f>
        <v>0</v>
      </c>
      <c r="N52" s="306"/>
      <c r="O52" s="306">
        <f>N51-O51</f>
        <v>0</v>
      </c>
      <c r="P52" s="306"/>
      <c r="Q52" s="306">
        <f>P51-Q51</f>
        <v>0</v>
      </c>
      <c r="R52" s="306"/>
      <c r="S52" s="306">
        <f>R51-S51</f>
        <v>0</v>
      </c>
      <c r="T52" s="744"/>
    </row>
    <row r="53" spans="1:20" s="727" customFormat="1" ht="18.75">
      <c r="A53" s="743"/>
      <c r="B53" s="745" t="s">
        <v>532</v>
      </c>
      <c r="C53" s="746"/>
      <c r="D53" s="746"/>
      <c r="E53" s="746"/>
      <c r="F53" s="746"/>
      <c r="G53" s="746"/>
      <c r="H53" s="304"/>
      <c r="I53" s="305"/>
      <c r="J53" s="306"/>
      <c r="K53" s="306">
        <f>K51-J51</f>
        <v>0</v>
      </c>
      <c r="L53" s="747"/>
      <c r="M53" s="747"/>
      <c r="N53" s="747"/>
      <c r="O53" s="747"/>
      <c r="P53" s="747"/>
      <c r="Q53" s="747"/>
      <c r="R53" s="747"/>
      <c r="S53" s="747"/>
      <c r="T53" s="744"/>
    </row>
    <row r="54" spans="1:20" s="727" customFormat="1" ht="18.75">
      <c r="A54" s="743"/>
      <c r="B54" s="745"/>
      <c r="C54" s="746"/>
      <c r="D54" s="746"/>
      <c r="E54" s="746"/>
      <c r="F54" s="746"/>
      <c r="G54" s="746"/>
      <c r="H54" s="304"/>
      <c r="I54" s="307"/>
      <c r="J54" s="304"/>
      <c r="K54" s="304"/>
      <c r="L54" s="746"/>
      <c r="M54" s="746"/>
      <c r="N54" s="746"/>
      <c r="O54" s="748">
        <f>O51-N51</f>
        <v>0</v>
      </c>
      <c r="P54" s="746"/>
      <c r="Q54" s="748">
        <f>Q51-P51</f>
        <v>0</v>
      </c>
      <c r="R54" s="746"/>
      <c r="S54" s="748">
        <f>S51-R51</f>
        <v>0</v>
      </c>
      <c r="T54" s="744"/>
    </row>
    <row r="55" spans="1:20" s="727" customFormat="1" ht="18.75">
      <c r="A55" s="743"/>
      <c r="B55" s="745"/>
      <c r="C55" s="746"/>
      <c r="D55" s="746"/>
      <c r="E55" s="746"/>
      <c r="F55" s="746"/>
      <c r="G55" s="746"/>
      <c r="H55" s="304"/>
      <c r="I55" s="307"/>
      <c r="J55" s="304"/>
      <c r="K55" s="304"/>
      <c r="L55" s="746"/>
      <c r="M55" s="746"/>
      <c r="N55" s="746"/>
      <c r="O55" s="746"/>
      <c r="P55" s="746"/>
      <c r="Q55" s="746"/>
      <c r="R55" s="746"/>
      <c r="S55" s="746"/>
      <c r="T55" s="744"/>
    </row>
    <row r="56" spans="1:20" s="727" customFormat="1" ht="18.75">
      <c r="A56" s="743"/>
      <c r="B56" s="745"/>
      <c r="C56" s="265"/>
      <c r="D56" s="265"/>
      <c r="E56" s="265"/>
      <c r="F56" s="265"/>
      <c r="G56" s="265"/>
      <c r="H56" s="304"/>
      <c r="I56" s="307"/>
      <c r="J56" s="304"/>
      <c r="K56" s="304"/>
      <c r="L56" s="265"/>
      <c r="M56" s="265"/>
      <c r="N56" s="265"/>
      <c r="O56" s="265"/>
      <c r="P56" s="265"/>
      <c r="Q56" s="265"/>
      <c r="R56" s="265"/>
      <c r="S56" s="265"/>
      <c r="T56" s="744"/>
    </row>
    <row r="57" spans="1:20" s="727" customFormat="1" ht="18.75">
      <c r="A57" s="743"/>
      <c r="B57" s="745"/>
      <c r="C57" s="265"/>
      <c r="D57" s="265"/>
      <c r="E57" s="265"/>
      <c r="F57" s="265"/>
      <c r="G57" s="265"/>
      <c r="H57" s="308"/>
      <c r="I57" s="307"/>
      <c r="J57" s="308"/>
      <c r="K57" s="308"/>
      <c r="L57" s="265"/>
      <c r="M57" s="265"/>
      <c r="N57" s="265"/>
      <c r="O57" s="265"/>
      <c r="P57" s="265"/>
      <c r="Q57" s="265"/>
      <c r="R57" s="265"/>
      <c r="S57" s="265"/>
      <c r="T57" s="744"/>
    </row>
    <row r="58" spans="1:20" s="727" customFormat="1" ht="18.75">
      <c r="A58" s="743"/>
      <c r="B58" s="745"/>
      <c r="C58" s="265"/>
      <c r="D58" s="265"/>
      <c r="E58" s="265"/>
      <c r="F58" s="265"/>
      <c r="G58" s="265"/>
      <c r="H58" s="308"/>
      <c r="I58" s="307"/>
      <c r="J58" s="308"/>
      <c r="K58" s="308"/>
      <c r="L58" s="265"/>
      <c r="M58" s="265"/>
      <c r="N58" s="265"/>
      <c r="O58" s="265"/>
      <c r="P58" s="265"/>
      <c r="Q58" s="265"/>
      <c r="R58" s="265"/>
      <c r="S58" s="265"/>
      <c r="T58" s="744"/>
    </row>
    <row r="59" spans="1:20" s="727" customFormat="1" ht="18.75">
      <c r="A59" s="743"/>
      <c r="B59" s="745"/>
      <c r="C59" s="265"/>
      <c r="D59" s="265"/>
      <c r="E59" s="265"/>
      <c r="F59" s="265"/>
      <c r="G59" s="265"/>
      <c r="H59" s="308"/>
      <c r="I59" s="307"/>
      <c r="J59" s="308"/>
      <c r="K59" s="308"/>
      <c r="L59" s="265"/>
      <c r="M59" s="265"/>
      <c r="N59" s="265"/>
      <c r="O59" s="265"/>
      <c r="P59" s="265"/>
      <c r="Q59" s="265"/>
      <c r="R59" s="265"/>
      <c r="S59" s="265"/>
      <c r="T59" s="744"/>
    </row>
    <row r="60" spans="1:20" s="727" customFormat="1" ht="18.75">
      <c r="A60" s="743"/>
      <c r="B60" s="745"/>
      <c r="C60" s="265"/>
      <c r="D60" s="265"/>
      <c r="E60" s="265"/>
      <c r="F60" s="265"/>
      <c r="G60" s="265"/>
      <c r="H60" s="308"/>
      <c r="I60" s="307"/>
      <c r="J60" s="308"/>
      <c r="K60" s="308"/>
      <c r="L60" s="265"/>
      <c r="M60" s="265"/>
      <c r="N60" s="265"/>
      <c r="O60" s="265"/>
      <c r="P60" s="265"/>
      <c r="Q60" s="265"/>
      <c r="R60" s="265"/>
      <c r="S60" s="265"/>
      <c r="T60" s="744"/>
    </row>
    <row r="61" spans="1:20" s="727" customFormat="1" ht="18.75">
      <c r="A61" s="743"/>
      <c r="B61" s="745"/>
      <c r="C61" s="265"/>
      <c r="D61" s="265"/>
      <c r="E61" s="265"/>
      <c r="F61" s="265"/>
      <c r="G61" s="265"/>
      <c r="H61" s="308"/>
      <c r="I61" s="307"/>
      <c r="J61" s="308"/>
      <c r="K61" s="308"/>
      <c r="L61" s="265"/>
      <c r="M61" s="265"/>
      <c r="N61" s="265"/>
      <c r="O61" s="265"/>
      <c r="P61" s="265"/>
      <c r="Q61" s="265"/>
      <c r="R61" s="265"/>
      <c r="S61" s="265"/>
      <c r="T61" s="744"/>
    </row>
    <row r="62" spans="1:20" s="727" customFormat="1" ht="18.75">
      <c r="A62" s="743"/>
      <c r="B62" s="745"/>
      <c r="C62" s="265"/>
      <c r="D62" s="265"/>
      <c r="E62" s="265"/>
      <c r="F62" s="265"/>
      <c r="G62" s="265"/>
      <c r="H62" s="308"/>
      <c r="I62" s="307"/>
      <c r="J62" s="308"/>
      <c r="K62" s="308"/>
      <c r="L62" s="265"/>
      <c r="M62" s="265"/>
      <c r="N62" s="265"/>
      <c r="O62" s="265"/>
      <c r="P62" s="265"/>
      <c r="Q62" s="265"/>
      <c r="R62" s="265"/>
      <c r="S62" s="265"/>
      <c r="T62" s="744"/>
    </row>
    <row r="63" spans="1:20" s="727" customFormat="1" ht="18.75">
      <c r="A63" s="743"/>
      <c r="B63" s="745"/>
      <c r="C63" s="265"/>
      <c r="D63" s="265"/>
      <c r="E63" s="265"/>
      <c r="F63" s="265"/>
      <c r="G63" s="265"/>
      <c r="H63" s="308"/>
      <c r="I63" s="307"/>
      <c r="J63" s="308"/>
      <c r="K63" s="308"/>
      <c r="L63" s="265"/>
      <c r="M63" s="265"/>
      <c r="N63" s="265"/>
      <c r="O63" s="265"/>
      <c r="P63" s="265"/>
      <c r="Q63" s="265"/>
      <c r="R63" s="265"/>
      <c r="S63" s="265"/>
      <c r="T63" s="744"/>
    </row>
    <row r="64" spans="1:20" s="727" customFormat="1" ht="18.75">
      <c r="A64" s="743"/>
      <c r="B64" s="745"/>
      <c r="C64" s="265"/>
      <c r="D64" s="265"/>
      <c r="E64" s="265"/>
      <c r="F64" s="265"/>
      <c r="G64" s="265"/>
      <c r="H64" s="308"/>
      <c r="I64" s="307"/>
      <c r="J64" s="308"/>
      <c r="K64" s="308"/>
      <c r="L64" s="265"/>
      <c r="M64" s="265"/>
      <c r="N64" s="265"/>
      <c r="O64" s="265"/>
      <c r="P64" s="265"/>
      <c r="Q64" s="265"/>
      <c r="R64" s="265"/>
      <c r="S64" s="265"/>
      <c r="T64" s="744"/>
    </row>
    <row r="65" spans="8:11" ht="18.75">
      <c r="H65" s="308"/>
      <c r="I65" s="307"/>
      <c r="J65" s="308"/>
      <c r="K65" s="308"/>
    </row>
    <row r="66" spans="8:11" ht="18.75">
      <c r="H66" s="308"/>
      <c r="I66" s="307"/>
      <c r="J66" s="308"/>
      <c r="K66" s="308"/>
    </row>
    <row r="67" spans="8:11" ht="18.75">
      <c r="H67" s="308"/>
      <c r="I67" s="307"/>
      <c r="J67" s="308"/>
      <c r="K67" s="308"/>
    </row>
    <row r="68" spans="8:11" ht="18.75">
      <c r="H68" s="308"/>
      <c r="I68" s="307"/>
      <c r="J68" s="308"/>
      <c r="K68" s="308"/>
    </row>
    <row r="69" spans="8:13" ht="18.75">
      <c r="H69" s="308"/>
      <c r="I69" s="307"/>
      <c r="J69" s="308"/>
      <c r="K69" s="308"/>
      <c r="M69" s="265"/>
    </row>
    <row r="70" spans="8:13" ht="18.75">
      <c r="H70" s="308"/>
      <c r="I70" s="307"/>
      <c r="J70" s="308"/>
      <c r="K70" s="308"/>
      <c r="M70" s="297"/>
    </row>
    <row r="71" spans="8:13" ht="18.75">
      <c r="H71" s="308"/>
      <c r="I71" s="307"/>
      <c r="J71" s="308"/>
      <c r="K71" s="308"/>
      <c r="M71" s="297"/>
    </row>
    <row r="72" spans="8:13" ht="18.75">
      <c r="H72" s="308"/>
      <c r="I72" s="307"/>
      <c r="J72" s="308"/>
      <c r="K72" s="308"/>
      <c r="M72" s="297"/>
    </row>
    <row r="73" spans="8:13" ht="18.75">
      <c r="H73" s="308"/>
      <c r="I73" s="307"/>
      <c r="J73" s="308"/>
      <c r="K73" s="308"/>
      <c r="M73" s="297"/>
    </row>
    <row r="74" spans="8:13" ht="18.75">
      <c r="H74" s="308"/>
      <c r="I74" s="307"/>
      <c r="J74" s="308"/>
      <c r="K74" s="308"/>
      <c r="M74" s="297"/>
    </row>
    <row r="75" spans="8:13" ht="18.75">
      <c r="H75" s="308"/>
      <c r="I75" s="307"/>
      <c r="J75" s="308"/>
      <c r="K75" s="308"/>
      <c r="M75" s="297"/>
    </row>
    <row r="76" spans="8:13" ht="18.75">
      <c r="H76" s="308"/>
      <c r="I76" s="307"/>
      <c r="J76" s="308"/>
      <c r="K76" s="308"/>
      <c r="M76" s="297"/>
    </row>
    <row r="77" spans="8:13" ht="18.75">
      <c r="H77" s="308"/>
      <c r="I77" s="307"/>
      <c r="J77" s="308"/>
      <c r="K77" s="308"/>
      <c r="M77" s="297"/>
    </row>
    <row r="78" spans="8:13" ht="18.75">
      <c r="H78" s="308"/>
      <c r="I78" s="307"/>
      <c r="J78" s="308"/>
      <c r="K78" s="308"/>
      <c r="M78" s="297"/>
    </row>
    <row r="79" spans="8:13" ht="18.75">
      <c r="H79" s="308"/>
      <c r="I79" s="307"/>
      <c r="J79" s="308"/>
      <c r="K79" s="308"/>
      <c r="M79" s="297"/>
    </row>
    <row r="80" spans="8:13" ht="18.75">
      <c r="H80" s="308"/>
      <c r="I80" s="307"/>
      <c r="J80" s="308"/>
      <c r="K80" s="308"/>
      <c r="M80" s="297"/>
    </row>
    <row r="81" spans="8:13" ht="18.75">
      <c r="H81" s="308"/>
      <c r="I81" s="307"/>
      <c r="J81" s="308"/>
      <c r="K81" s="308"/>
      <c r="M81" s="297"/>
    </row>
    <row r="82" spans="8:13" ht="18.75">
      <c r="H82" s="308"/>
      <c r="I82" s="307"/>
      <c r="J82" s="308"/>
      <c r="K82" s="308"/>
      <c r="M82" s="297"/>
    </row>
    <row r="83" spans="8:13" ht="18.75">
      <c r="H83" s="308"/>
      <c r="I83" s="307"/>
      <c r="J83" s="308"/>
      <c r="K83" s="308"/>
      <c r="M83" s="297"/>
    </row>
    <row r="84" spans="8:13" ht="18.75">
      <c r="H84" s="308"/>
      <c r="I84" s="307"/>
      <c r="J84" s="308"/>
      <c r="K84" s="308"/>
      <c r="M84" s="297"/>
    </row>
    <row r="85" spans="8:13" ht="18.75">
      <c r="H85" s="308"/>
      <c r="I85" s="307"/>
      <c r="J85" s="308"/>
      <c r="K85" s="308"/>
      <c r="M85" s="297"/>
    </row>
    <row r="86" spans="8:13" ht="18.75">
      <c r="H86" s="308"/>
      <c r="I86" s="307"/>
      <c r="J86" s="308"/>
      <c r="K86" s="308"/>
      <c r="M86" s="297"/>
    </row>
    <row r="87" spans="8:13" ht="18.75">
      <c r="H87" s="308"/>
      <c r="I87" s="307"/>
      <c r="J87" s="308"/>
      <c r="K87" s="308"/>
      <c r="M87" s="297"/>
    </row>
    <row r="88" spans="8:13" ht="18.75">
      <c r="H88" s="308"/>
      <c r="I88" s="307"/>
      <c r="J88" s="308"/>
      <c r="K88" s="308"/>
      <c r="M88" s="297"/>
    </row>
    <row r="89" spans="8:13" ht="18.75">
      <c r="H89" s="308"/>
      <c r="I89" s="307"/>
      <c r="J89" s="308"/>
      <c r="K89" s="308"/>
      <c r="M89" s="297"/>
    </row>
    <row r="90" spans="8:13" ht="18.75">
      <c r="H90" s="308"/>
      <c r="I90" s="307"/>
      <c r="J90" s="308"/>
      <c r="K90" s="308"/>
      <c r="M90" s="297"/>
    </row>
    <row r="91" spans="8:13" ht="18.75">
      <c r="H91" s="308"/>
      <c r="I91" s="307"/>
      <c r="J91" s="308"/>
      <c r="K91" s="308"/>
      <c r="M91" s="297"/>
    </row>
    <row r="92" spans="8:13" ht="18.75">
      <c r="H92" s="308"/>
      <c r="I92" s="307"/>
      <c r="J92" s="308"/>
      <c r="K92" s="308"/>
      <c r="M92" s="297"/>
    </row>
    <row r="93" spans="8:13" ht="18.75">
      <c r="H93" s="308"/>
      <c r="I93" s="307"/>
      <c r="J93" s="308"/>
      <c r="K93" s="308"/>
      <c r="M93" s="297"/>
    </row>
    <row r="94" spans="8:13" ht="18.75">
      <c r="H94" s="308"/>
      <c r="I94" s="307"/>
      <c r="J94" s="308"/>
      <c r="K94" s="308"/>
      <c r="M94" s="297"/>
    </row>
    <row r="95" spans="8:13" ht="18.75">
      <c r="H95" s="308"/>
      <c r="I95" s="307"/>
      <c r="J95" s="308"/>
      <c r="K95" s="308"/>
      <c r="M95" s="297"/>
    </row>
    <row r="96" spans="8:13" ht="18.75">
      <c r="H96" s="308"/>
      <c r="I96" s="307"/>
      <c r="J96" s="308"/>
      <c r="K96" s="308"/>
      <c r="M96" s="297"/>
    </row>
    <row r="97" spans="8:13" ht="18.75">
      <c r="H97" s="308"/>
      <c r="I97" s="307"/>
      <c r="J97" s="308"/>
      <c r="K97" s="308"/>
      <c r="M97" s="297"/>
    </row>
    <row r="98" spans="8:13" ht="18.75">
      <c r="H98" s="308"/>
      <c r="I98" s="307"/>
      <c r="J98" s="308"/>
      <c r="K98" s="308"/>
      <c r="M98" s="297"/>
    </row>
    <row r="99" spans="8:13" ht="18.75">
      <c r="H99" s="308"/>
      <c r="I99" s="307"/>
      <c r="J99" s="308"/>
      <c r="K99" s="308"/>
      <c r="M99" s="297"/>
    </row>
    <row r="100" spans="8:13" ht="18.75">
      <c r="H100" s="308"/>
      <c r="I100" s="307"/>
      <c r="J100" s="308"/>
      <c r="K100" s="308"/>
      <c r="M100" s="297"/>
    </row>
    <row r="101" spans="8:13" ht="18.75">
      <c r="H101" s="308"/>
      <c r="I101" s="307"/>
      <c r="J101" s="308"/>
      <c r="K101" s="308"/>
      <c r="M101" s="297"/>
    </row>
    <row r="102" spans="8:13" ht="18.75">
      <c r="H102" s="308"/>
      <c r="I102" s="307"/>
      <c r="J102" s="308"/>
      <c r="K102" s="308"/>
      <c r="M102" s="297"/>
    </row>
    <row r="103" spans="8:13" ht="18.75">
      <c r="H103" s="308"/>
      <c r="I103" s="307"/>
      <c r="J103" s="308"/>
      <c r="K103" s="308"/>
      <c r="M103" s="297"/>
    </row>
    <row r="104" spans="8:13" ht="18.75">
      <c r="H104" s="308"/>
      <c r="I104" s="307"/>
      <c r="J104" s="308"/>
      <c r="K104" s="308"/>
      <c r="M104" s="297"/>
    </row>
    <row r="105" spans="8:13" ht="18.75">
      <c r="H105" s="308"/>
      <c r="I105" s="307"/>
      <c r="J105" s="308"/>
      <c r="K105" s="308"/>
      <c r="M105" s="297"/>
    </row>
    <row r="106" spans="8:13" ht="18.75">
      <c r="H106" s="308"/>
      <c r="I106" s="307"/>
      <c r="J106" s="308"/>
      <c r="K106" s="308"/>
      <c r="M106" s="297"/>
    </row>
    <row r="107" spans="8:13" ht="18.75">
      <c r="H107" s="308"/>
      <c r="I107" s="307"/>
      <c r="J107" s="308"/>
      <c r="K107" s="308"/>
      <c r="M107" s="297"/>
    </row>
    <row r="108" spans="8:13" ht="18.75">
      <c r="H108" s="308"/>
      <c r="I108" s="307"/>
      <c r="J108" s="308"/>
      <c r="K108" s="308"/>
      <c r="M108" s="297"/>
    </row>
    <row r="109" spans="8:13" ht="18.75">
      <c r="H109" s="308"/>
      <c r="I109" s="307"/>
      <c r="J109" s="308"/>
      <c r="K109" s="308"/>
      <c r="M109" s="297"/>
    </row>
    <row r="110" spans="8:13" ht="18.75">
      <c r="H110" s="308"/>
      <c r="I110" s="307"/>
      <c r="J110" s="308"/>
      <c r="K110" s="308"/>
      <c r="M110" s="297"/>
    </row>
    <row r="111" spans="8:13" ht="18.75">
      <c r="H111" s="308"/>
      <c r="I111" s="307"/>
      <c r="J111" s="308"/>
      <c r="K111" s="308"/>
      <c r="M111" s="297"/>
    </row>
    <row r="112" spans="8:13" ht="18.75">
      <c r="H112" s="308"/>
      <c r="I112" s="307"/>
      <c r="J112" s="308"/>
      <c r="K112" s="308"/>
      <c r="M112" s="297"/>
    </row>
    <row r="113" spans="8:13" ht="18.75">
      <c r="H113" s="308"/>
      <c r="I113" s="307"/>
      <c r="J113" s="308"/>
      <c r="K113" s="308"/>
      <c r="M113" s="297"/>
    </row>
    <row r="114" spans="8:13" ht="18.75">
      <c r="H114" s="308"/>
      <c r="I114" s="307"/>
      <c r="J114" s="308"/>
      <c r="K114" s="308"/>
      <c r="M114" s="265"/>
    </row>
    <row r="115" spans="8:13" ht="18.75">
      <c r="H115" s="308"/>
      <c r="I115" s="307"/>
      <c r="J115" s="308"/>
      <c r="K115" s="308"/>
      <c r="M115" s="265"/>
    </row>
    <row r="116" spans="8:13" ht="18.75">
      <c r="H116" s="308"/>
      <c r="I116" s="307"/>
      <c r="J116" s="308"/>
      <c r="K116" s="308"/>
      <c r="M116" s="265"/>
    </row>
    <row r="117" spans="8:13" ht="18.75">
      <c r="H117" s="308"/>
      <c r="I117" s="307"/>
      <c r="J117" s="308"/>
      <c r="K117" s="308"/>
      <c r="M117" s="265"/>
    </row>
    <row r="118" spans="8:13" ht="18.75">
      <c r="H118" s="308"/>
      <c r="I118" s="307"/>
      <c r="J118" s="308"/>
      <c r="K118" s="308"/>
      <c r="M118" s="265"/>
    </row>
    <row r="119" spans="8:13" ht="18.75">
      <c r="H119" s="308"/>
      <c r="I119" s="307"/>
      <c r="J119" s="308"/>
      <c r="K119" s="308"/>
      <c r="M119" s="265"/>
    </row>
    <row r="120" spans="8:13" ht="18.75">
      <c r="H120" s="308"/>
      <c r="I120" s="307"/>
      <c r="J120" s="308"/>
      <c r="K120" s="308"/>
      <c r="M120" s="265"/>
    </row>
    <row r="121" spans="8:13" ht="18.75">
      <c r="H121" s="308"/>
      <c r="I121" s="307"/>
      <c r="J121" s="308"/>
      <c r="K121" s="308"/>
      <c r="M121" s="265"/>
    </row>
    <row r="122" spans="8:13" ht="18.75">
      <c r="H122" s="308"/>
      <c r="I122" s="307"/>
      <c r="J122" s="308"/>
      <c r="K122" s="308"/>
      <c r="M122" s="265"/>
    </row>
    <row r="123" spans="8:11" ht="18.75">
      <c r="H123" s="308"/>
      <c r="I123" s="307"/>
      <c r="J123" s="308"/>
      <c r="K123" s="308"/>
    </row>
    <row r="124" spans="8:11" ht="18.75">
      <c r="H124" s="308"/>
      <c r="I124" s="307"/>
      <c r="J124" s="308"/>
      <c r="K124" s="308"/>
    </row>
    <row r="125" spans="8:11" ht="18.75">
      <c r="H125" s="308"/>
      <c r="I125" s="307"/>
      <c r="J125" s="308"/>
      <c r="K125" s="308"/>
    </row>
    <row r="126" spans="8:11" ht="18.75">
      <c r="H126" s="308"/>
      <c r="I126" s="307"/>
      <c r="J126" s="308"/>
      <c r="K126" s="308"/>
    </row>
    <row r="127" spans="8:11" ht="18.75">
      <c r="H127" s="308"/>
      <c r="I127" s="307"/>
      <c r="J127" s="308"/>
      <c r="K127" s="308"/>
    </row>
    <row r="128" spans="8:11" ht="18.75">
      <c r="H128" s="308"/>
      <c r="I128" s="307"/>
      <c r="J128" s="308"/>
      <c r="K128" s="308"/>
    </row>
    <row r="129" spans="8:11" ht="18.75">
      <c r="H129" s="308"/>
      <c r="I129" s="307"/>
      <c r="J129" s="308"/>
      <c r="K129" s="308"/>
    </row>
    <row r="130" spans="8:11" ht="18.75">
      <c r="H130" s="308"/>
      <c r="I130" s="307"/>
      <c r="J130" s="308"/>
      <c r="K130" s="308"/>
    </row>
    <row r="131" spans="8:11" ht="18.75">
      <c r="H131" s="308"/>
      <c r="I131" s="307"/>
      <c r="J131" s="308"/>
      <c r="K131" s="308"/>
    </row>
    <row r="132" spans="8:11" ht="18.75">
      <c r="H132" s="308"/>
      <c r="I132" s="307"/>
      <c r="J132" s="308"/>
      <c r="K132" s="308"/>
    </row>
    <row r="133" spans="8:11" ht="18.75">
      <c r="H133" s="308"/>
      <c r="I133" s="307"/>
      <c r="J133" s="308"/>
      <c r="K133" s="308"/>
    </row>
    <row r="134" spans="8:11" ht="18.75">
      <c r="H134" s="308"/>
      <c r="I134" s="307"/>
      <c r="J134" s="308"/>
      <c r="K134" s="308"/>
    </row>
    <row r="135" spans="8:11" ht="18.75">
      <c r="H135" s="308"/>
      <c r="I135" s="307"/>
      <c r="J135" s="308"/>
      <c r="K135" s="308"/>
    </row>
    <row r="136" spans="8:11" ht="18.75">
      <c r="H136" s="308"/>
      <c r="I136" s="307"/>
      <c r="J136" s="308"/>
      <c r="K136" s="308"/>
    </row>
    <row r="137" spans="8:11" ht="18.75">
      <c r="H137" s="308"/>
      <c r="I137" s="307"/>
      <c r="J137" s="308"/>
      <c r="K137" s="308"/>
    </row>
    <row r="138" spans="8:11" ht="18.75">
      <c r="H138" s="308"/>
      <c r="I138" s="307"/>
      <c r="J138" s="308"/>
      <c r="K138" s="308"/>
    </row>
    <row r="139" spans="8:11" ht="18.75">
      <c r="H139" s="308"/>
      <c r="I139" s="307"/>
      <c r="J139" s="308"/>
      <c r="K139" s="308"/>
    </row>
    <row r="140" spans="8:11" ht="18.75">
      <c r="H140" s="308"/>
      <c r="I140" s="307"/>
      <c r="J140" s="308"/>
      <c r="K140" s="308"/>
    </row>
    <row r="141" spans="8:11" ht="18.75">
      <c r="H141" s="308"/>
      <c r="I141" s="307"/>
      <c r="J141" s="308"/>
      <c r="K141" s="308"/>
    </row>
    <row r="142" spans="8:11" ht="18.75">
      <c r="H142" s="308"/>
      <c r="I142" s="307"/>
      <c r="J142" s="308"/>
      <c r="K142" s="308"/>
    </row>
    <row r="143" spans="8:11" ht="18.75">
      <c r="H143" s="308"/>
      <c r="I143" s="307"/>
      <c r="J143" s="308"/>
      <c r="K143" s="308"/>
    </row>
    <row r="144" spans="8:11" ht="18.75">
      <c r="H144" s="308"/>
      <c r="I144" s="307"/>
      <c r="J144" s="308"/>
      <c r="K144" s="308"/>
    </row>
    <row r="145" spans="8:11" ht="18.75">
      <c r="H145" s="308"/>
      <c r="I145" s="307"/>
      <c r="J145" s="308"/>
      <c r="K145" s="308"/>
    </row>
    <row r="146" spans="8:11" ht="18.75">
      <c r="H146" s="308"/>
      <c r="I146" s="307"/>
      <c r="J146" s="308"/>
      <c r="K146" s="308"/>
    </row>
    <row r="147" spans="8:11" ht="18.75">
      <c r="H147" s="308"/>
      <c r="I147" s="307"/>
      <c r="J147" s="308"/>
      <c r="K147" s="308"/>
    </row>
    <row r="148" spans="8:11" ht="18.75">
      <c r="H148" s="308"/>
      <c r="I148" s="307"/>
      <c r="J148" s="308"/>
      <c r="K148" s="308"/>
    </row>
    <row r="149" spans="8:11" ht="18.75">
      <c r="H149" s="308"/>
      <c r="I149" s="307"/>
      <c r="J149" s="308"/>
      <c r="K149" s="308"/>
    </row>
    <row r="150" spans="8:11" ht="18.75">
      <c r="H150" s="308"/>
      <c r="I150" s="307"/>
      <c r="J150" s="308"/>
      <c r="K150" s="308"/>
    </row>
    <row r="151" spans="8:11" ht="18.75">
      <c r="H151" s="308"/>
      <c r="I151" s="307"/>
      <c r="J151" s="308"/>
      <c r="K151" s="308"/>
    </row>
    <row r="152" spans="8:11" ht="18.75">
      <c r="H152" s="308"/>
      <c r="I152" s="307"/>
      <c r="J152" s="308"/>
      <c r="K152" s="308"/>
    </row>
    <row r="153" spans="8:11" ht="18.75">
      <c r="H153" s="308"/>
      <c r="I153" s="307"/>
      <c r="J153" s="308"/>
      <c r="K153" s="308"/>
    </row>
    <row r="154" spans="8:11" ht="18.75">
      <c r="H154" s="308"/>
      <c r="I154" s="307"/>
      <c r="J154" s="308"/>
      <c r="K154" s="308"/>
    </row>
    <row r="155" spans="8:11" ht="18.75">
      <c r="H155" s="308"/>
      <c r="I155" s="307"/>
      <c r="J155" s="308"/>
      <c r="K155" s="308"/>
    </row>
    <row r="156" spans="8:11" ht="18.75">
      <c r="H156" s="308"/>
      <c r="I156" s="307"/>
      <c r="J156" s="308"/>
      <c r="K156" s="308"/>
    </row>
    <row r="157" spans="8:11" ht="18.75">
      <c r="H157" s="308"/>
      <c r="I157" s="307"/>
      <c r="J157" s="308"/>
      <c r="K157" s="308"/>
    </row>
    <row r="158" spans="8:11" ht="18.75">
      <c r="H158" s="308"/>
      <c r="I158" s="307"/>
      <c r="J158" s="308"/>
      <c r="K158" s="308"/>
    </row>
    <row r="159" spans="8:11" ht="18.75">
      <c r="H159" s="308"/>
      <c r="I159" s="307"/>
      <c r="J159" s="308"/>
      <c r="K159" s="308"/>
    </row>
    <row r="160" spans="8:11" ht="18.75">
      <c r="H160" s="308"/>
      <c r="I160" s="307"/>
      <c r="J160" s="308"/>
      <c r="K160" s="308"/>
    </row>
    <row r="161" spans="8:11" ht="18.75">
      <c r="H161" s="308"/>
      <c r="I161" s="307"/>
      <c r="J161" s="308"/>
      <c r="K161" s="308"/>
    </row>
    <row r="162" spans="8:11" ht="18.75">
      <c r="H162" s="308"/>
      <c r="I162" s="307"/>
      <c r="J162" s="308"/>
      <c r="K162" s="308"/>
    </row>
    <row r="163" spans="8:11" ht="18.75">
      <c r="H163" s="308"/>
      <c r="I163" s="307"/>
      <c r="J163" s="308"/>
      <c r="K163" s="308"/>
    </row>
    <row r="164" spans="8:11" ht="18.75">
      <c r="H164" s="308"/>
      <c r="I164" s="307"/>
      <c r="J164" s="308"/>
      <c r="K164" s="308"/>
    </row>
    <row r="165" spans="8:11" ht="18.75">
      <c r="H165" s="308"/>
      <c r="I165" s="307"/>
      <c r="J165" s="308"/>
      <c r="K165" s="308"/>
    </row>
    <row r="166" spans="8:11" ht="18.75">
      <c r="H166" s="308"/>
      <c r="I166" s="307"/>
      <c r="J166" s="308"/>
      <c r="K166" s="308"/>
    </row>
    <row r="167" spans="8:11" ht="18.75">
      <c r="H167" s="308"/>
      <c r="I167" s="307"/>
      <c r="J167" s="308"/>
      <c r="K167" s="308"/>
    </row>
    <row r="168" spans="8:11" ht="18.75">
      <c r="H168" s="308"/>
      <c r="I168" s="307"/>
      <c r="J168" s="308"/>
      <c r="K168" s="308"/>
    </row>
    <row r="169" spans="8:11" ht="18.75">
      <c r="H169" s="308"/>
      <c r="I169" s="307"/>
      <c r="J169" s="308"/>
      <c r="K169" s="308"/>
    </row>
    <row r="170" spans="8:11" ht="18.75">
      <c r="H170" s="308"/>
      <c r="I170" s="307"/>
      <c r="J170" s="308"/>
      <c r="K170" s="308"/>
    </row>
    <row r="171" spans="8:11" ht="18.75">
      <c r="H171" s="308"/>
      <c r="I171" s="307"/>
      <c r="J171" s="308"/>
      <c r="K171" s="308"/>
    </row>
    <row r="172" spans="8:11" ht="18.75">
      <c r="H172" s="308"/>
      <c r="I172" s="307"/>
      <c r="J172" s="308"/>
      <c r="K172" s="308"/>
    </row>
    <row r="173" spans="8:11" ht="18.75">
      <c r="H173" s="308"/>
      <c r="I173" s="307"/>
      <c r="J173" s="308"/>
      <c r="K173" s="308"/>
    </row>
    <row r="174" spans="8:11" ht="18.75">
      <c r="H174" s="308"/>
      <c r="I174" s="307"/>
      <c r="J174" s="308"/>
      <c r="K174" s="308"/>
    </row>
    <row r="175" spans="8:11" ht="18.75">
      <c r="H175" s="308"/>
      <c r="I175" s="307"/>
      <c r="J175" s="308"/>
      <c r="K175" s="308"/>
    </row>
    <row r="176" spans="8:11" ht="18.75">
      <c r="H176" s="308"/>
      <c r="I176" s="307"/>
      <c r="J176" s="308"/>
      <c r="K176" s="308"/>
    </row>
    <row r="177" spans="8:11" ht="18.75">
      <c r="H177" s="308"/>
      <c r="I177" s="307"/>
      <c r="J177" s="308"/>
      <c r="K177" s="308"/>
    </row>
    <row r="178" spans="8:11" ht="18.75">
      <c r="H178" s="308"/>
      <c r="I178" s="307"/>
      <c r="J178" s="308"/>
      <c r="K178" s="308"/>
    </row>
    <row r="179" spans="8:11" ht="18.75">
      <c r="H179" s="308"/>
      <c r="I179" s="307"/>
      <c r="J179" s="308"/>
      <c r="K179" s="308"/>
    </row>
    <row r="180" spans="8:11" ht="18.75">
      <c r="H180" s="308"/>
      <c r="I180" s="307"/>
      <c r="J180" s="308"/>
      <c r="K180" s="308"/>
    </row>
    <row r="181" spans="8:11" ht="18.75">
      <c r="H181" s="308"/>
      <c r="I181" s="307"/>
      <c r="J181" s="308"/>
      <c r="K181" s="308"/>
    </row>
    <row r="182" spans="8:11" ht="18.75">
      <c r="H182" s="308"/>
      <c r="I182" s="307"/>
      <c r="J182" s="308"/>
      <c r="K182" s="308"/>
    </row>
    <row r="183" spans="8:11" ht="18.75">
      <c r="H183" s="308"/>
      <c r="I183" s="307"/>
      <c r="J183" s="308"/>
      <c r="K183" s="308"/>
    </row>
    <row r="184" spans="8:11" ht="18.75">
      <c r="H184" s="308"/>
      <c r="I184" s="307"/>
      <c r="J184" s="308"/>
      <c r="K184" s="308"/>
    </row>
    <row r="185" spans="8:11" ht="18.75">
      <c r="H185" s="308"/>
      <c r="I185" s="307"/>
      <c r="J185" s="308"/>
      <c r="K185" s="308"/>
    </row>
    <row r="186" spans="8:11" ht="18.75">
      <c r="H186" s="308"/>
      <c r="I186" s="307"/>
      <c r="J186" s="308"/>
      <c r="K186" s="308"/>
    </row>
    <row r="187" spans="8:11" ht="18.75">
      <c r="H187" s="308"/>
      <c r="I187" s="307"/>
      <c r="J187" s="308"/>
      <c r="K187" s="308"/>
    </row>
    <row r="188" spans="8:11" ht="18.75">
      <c r="H188" s="308"/>
      <c r="I188" s="307"/>
      <c r="J188" s="308"/>
      <c r="K188" s="308"/>
    </row>
    <row r="189" spans="8:11" ht="18.75">
      <c r="H189" s="308"/>
      <c r="I189" s="307"/>
      <c r="J189" s="308"/>
      <c r="K189" s="308"/>
    </row>
    <row r="190" spans="8:11" ht="18.75">
      <c r="H190" s="308"/>
      <c r="I190" s="307"/>
      <c r="J190" s="308"/>
      <c r="K190" s="308"/>
    </row>
    <row r="191" spans="8:11" ht="18.75">
      <c r="H191" s="308"/>
      <c r="I191" s="307"/>
      <c r="J191" s="308"/>
      <c r="K191" s="308"/>
    </row>
    <row r="192" spans="8:11" ht="18.75">
      <c r="H192" s="308"/>
      <c r="I192" s="307"/>
      <c r="J192" s="308"/>
      <c r="K192" s="308"/>
    </row>
    <row r="193" spans="8:11" ht="18.75">
      <c r="H193" s="308"/>
      <c r="I193" s="307"/>
      <c r="J193" s="308"/>
      <c r="K193" s="308"/>
    </row>
    <row r="194" spans="8:11" ht="18.75">
      <c r="H194" s="308"/>
      <c r="I194" s="307"/>
      <c r="J194" s="308"/>
      <c r="K194" s="308"/>
    </row>
    <row r="195" spans="8:11" ht="18.75">
      <c r="H195" s="308"/>
      <c r="I195" s="307"/>
      <c r="J195" s="308"/>
      <c r="K195" s="308"/>
    </row>
    <row r="196" spans="8:11" ht="18.75">
      <c r="H196" s="308"/>
      <c r="I196" s="307"/>
      <c r="J196" s="308"/>
      <c r="K196" s="308"/>
    </row>
    <row r="197" spans="8:11" ht="18.75">
      <c r="H197" s="308"/>
      <c r="I197" s="307"/>
      <c r="J197" s="308"/>
      <c r="K197" s="308"/>
    </row>
    <row r="198" spans="8:11" ht="18.75">
      <c r="H198" s="308"/>
      <c r="I198" s="307"/>
      <c r="J198" s="308"/>
      <c r="K198" s="308"/>
    </row>
    <row r="199" spans="8:11" ht="18.75">
      <c r="H199" s="308"/>
      <c r="I199" s="307"/>
      <c r="J199" s="308"/>
      <c r="K199" s="308"/>
    </row>
    <row r="200" spans="8:11" ht="18.75">
      <c r="H200" s="308"/>
      <c r="I200" s="307"/>
      <c r="J200" s="308"/>
      <c r="K200" s="308"/>
    </row>
    <row r="201" spans="8:11" ht="18.75">
      <c r="H201" s="308"/>
      <c r="I201" s="307"/>
      <c r="J201" s="308"/>
      <c r="K201" s="308"/>
    </row>
    <row r="202" spans="8:11" ht="18.75">
      <c r="H202" s="308"/>
      <c r="I202" s="307"/>
      <c r="J202" s="308"/>
      <c r="K202" s="308"/>
    </row>
    <row r="203" spans="8:11" ht="18.75">
      <c r="H203" s="308"/>
      <c r="I203" s="307"/>
      <c r="J203" s="308"/>
      <c r="K203" s="308"/>
    </row>
    <row r="204" spans="8:11" ht="18.75">
      <c r="H204" s="308"/>
      <c r="I204" s="307"/>
      <c r="J204" s="308"/>
      <c r="K204" s="308"/>
    </row>
    <row r="205" spans="8:11" ht="18.75">
      <c r="H205" s="308"/>
      <c r="I205" s="307"/>
      <c r="J205" s="308"/>
      <c r="K205" s="308"/>
    </row>
    <row r="206" spans="8:11" ht="18.75">
      <c r="H206" s="308"/>
      <c r="I206" s="307"/>
      <c r="J206" s="308"/>
      <c r="K206" s="308"/>
    </row>
    <row r="207" spans="8:11" ht="18.75">
      <c r="H207" s="308"/>
      <c r="I207" s="307"/>
      <c r="J207" s="308"/>
      <c r="K207" s="308"/>
    </row>
    <row r="208" spans="8:11" ht="18.75">
      <c r="H208" s="308"/>
      <c r="I208" s="307"/>
      <c r="J208" s="308"/>
      <c r="K208" s="308"/>
    </row>
    <row r="209" spans="8:11" ht="18.75">
      <c r="H209" s="308"/>
      <c r="I209" s="307"/>
      <c r="J209" s="308"/>
      <c r="K209" s="308"/>
    </row>
    <row r="210" spans="8:11" ht="18.75">
      <c r="H210" s="308"/>
      <c r="I210" s="307"/>
      <c r="J210" s="308"/>
      <c r="K210" s="308"/>
    </row>
    <row r="211" spans="8:11" ht="18.75">
      <c r="H211" s="308"/>
      <c r="I211" s="307"/>
      <c r="J211" s="308"/>
      <c r="K211" s="308"/>
    </row>
    <row r="212" spans="8:11" ht="18.75">
      <c r="H212" s="308"/>
      <c r="I212" s="307"/>
      <c r="J212" s="308"/>
      <c r="K212" s="308"/>
    </row>
    <row r="213" spans="8:11" ht="18.75">
      <c r="H213" s="308"/>
      <c r="I213" s="307"/>
      <c r="J213" s="308"/>
      <c r="K213" s="308"/>
    </row>
    <row r="214" spans="8:11" ht="18.75">
      <c r="H214" s="308"/>
      <c r="I214" s="307"/>
      <c r="J214" s="308"/>
      <c r="K214" s="308"/>
    </row>
    <row r="215" spans="8:11" ht="18.75">
      <c r="H215" s="308"/>
      <c r="I215" s="307"/>
      <c r="J215" s="308"/>
      <c r="K215" s="308"/>
    </row>
    <row r="216" spans="8:11" ht="18.75">
      <c r="H216" s="308"/>
      <c r="I216" s="307"/>
      <c r="J216" s="308"/>
      <c r="K216" s="308"/>
    </row>
    <row r="217" spans="8:11" ht="18.75">
      <c r="H217" s="308"/>
      <c r="I217" s="307"/>
      <c r="J217" s="308"/>
      <c r="K217" s="308"/>
    </row>
    <row r="218" spans="8:11" ht="18.75">
      <c r="H218" s="308"/>
      <c r="I218" s="307"/>
      <c r="J218" s="308"/>
      <c r="K218" s="308"/>
    </row>
    <row r="219" spans="8:11" ht="18.75">
      <c r="H219" s="308"/>
      <c r="I219" s="307"/>
      <c r="J219" s="308"/>
      <c r="K219" s="308"/>
    </row>
    <row r="220" spans="8:11" ht="18.75">
      <c r="H220" s="308"/>
      <c r="I220" s="307"/>
      <c r="J220" s="308"/>
      <c r="K220" s="308"/>
    </row>
    <row r="221" spans="8:11" ht="18.75">
      <c r="H221" s="308"/>
      <c r="I221" s="307"/>
      <c r="J221" s="308"/>
      <c r="K221" s="308"/>
    </row>
    <row r="222" spans="8:11" ht="18.75">
      <c r="H222" s="308"/>
      <c r="I222" s="307"/>
      <c r="J222" s="308"/>
      <c r="K222" s="308"/>
    </row>
    <row r="223" spans="8:11" ht="18.75">
      <c r="H223" s="308"/>
      <c r="I223" s="307"/>
      <c r="J223" s="308"/>
      <c r="K223" s="308"/>
    </row>
    <row r="224" spans="8:11" ht="18.75">
      <c r="H224" s="308"/>
      <c r="I224" s="307"/>
      <c r="J224" s="308"/>
      <c r="K224" s="308"/>
    </row>
    <row r="225" spans="8:11" ht="18.75">
      <c r="H225" s="308"/>
      <c r="I225" s="307"/>
      <c r="J225" s="308"/>
      <c r="K225" s="308"/>
    </row>
    <row r="226" spans="8:11" ht="18.75">
      <c r="H226" s="308"/>
      <c r="I226" s="307"/>
      <c r="J226" s="308"/>
      <c r="K226" s="308"/>
    </row>
    <row r="227" spans="8:11" ht="18.75">
      <c r="H227" s="308"/>
      <c r="I227" s="307"/>
      <c r="J227" s="308"/>
      <c r="K227" s="308"/>
    </row>
    <row r="228" spans="8:11" ht="18.75">
      <c r="H228" s="308"/>
      <c r="I228" s="307"/>
      <c r="J228" s="308"/>
      <c r="K228" s="308"/>
    </row>
    <row r="229" spans="8:11" ht="18.75">
      <c r="H229" s="308"/>
      <c r="I229" s="307"/>
      <c r="J229" s="308"/>
      <c r="K229" s="308"/>
    </row>
    <row r="230" spans="8:11" ht="18.75">
      <c r="H230" s="308"/>
      <c r="I230" s="307"/>
      <c r="J230" s="308"/>
      <c r="K230" s="308"/>
    </row>
    <row r="231" spans="8:11" ht="18.75">
      <c r="H231" s="308"/>
      <c r="I231" s="307"/>
      <c r="J231" s="308"/>
      <c r="K231" s="308"/>
    </row>
    <row r="232" spans="8:11" ht="18.75">
      <c r="H232" s="308"/>
      <c r="I232" s="307"/>
      <c r="J232" s="308"/>
      <c r="K232" s="308"/>
    </row>
    <row r="233" spans="8:11" ht="18.75">
      <c r="H233" s="308"/>
      <c r="I233" s="307"/>
      <c r="J233" s="308"/>
      <c r="K233" s="308"/>
    </row>
    <row r="234" spans="8:11" ht="18.75">
      <c r="H234" s="308"/>
      <c r="I234" s="307"/>
      <c r="J234" s="308"/>
      <c r="K234" s="308"/>
    </row>
    <row r="235" spans="8:11" ht="18.75">
      <c r="H235" s="308"/>
      <c r="I235" s="307"/>
      <c r="J235" s="308"/>
      <c r="K235" s="308"/>
    </row>
    <row r="236" spans="8:11" ht="18.75">
      <c r="H236" s="308"/>
      <c r="I236" s="307"/>
      <c r="J236" s="308"/>
      <c r="K236" s="308"/>
    </row>
    <row r="237" spans="8:11" ht="18.75">
      <c r="H237" s="308"/>
      <c r="I237" s="307"/>
      <c r="J237" s="308"/>
      <c r="K237" s="308"/>
    </row>
    <row r="238" spans="8:11" ht="18.75">
      <c r="H238" s="308"/>
      <c r="I238" s="307"/>
      <c r="J238" s="308"/>
      <c r="K238" s="308"/>
    </row>
    <row r="239" spans="8:11" ht="18.75">
      <c r="H239" s="308"/>
      <c r="I239" s="307"/>
      <c r="J239" s="308"/>
      <c r="K239" s="308"/>
    </row>
    <row r="240" spans="8:11" ht="18.75">
      <c r="H240" s="308"/>
      <c r="I240" s="307"/>
      <c r="J240" s="308"/>
      <c r="K240" s="308"/>
    </row>
    <row r="241" spans="8:11" ht="18.75">
      <c r="H241" s="308"/>
      <c r="I241" s="307"/>
      <c r="J241" s="308"/>
      <c r="K241" s="308"/>
    </row>
    <row r="242" spans="8:11" ht="18.75">
      <c r="H242" s="308"/>
      <c r="I242" s="307"/>
      <c r="J242" s="308"/>
      <c r="K242" s="308"/>
    </row>
    <row r="243" spans="8:11" ht="18.75">
      <c r="H243" s="308"/>
      <c r="I243" s="307"/>
      <c r="J243" s="308"/>
      <c r="K243" s="308"/>
    </row>
    <row r="244" spans="8:11" ht="18.75">
      <c r="H244" s="308"/>
      <c r="I244" s="307"/>
      <c r="J244" s="308"/>
      <c r="K244" s="308"/>
    </row>
    <row r="245" spans="8:11" ht="18.75">
      <c r="H245" s="308"/>
      <c r="I245" s="307"/>
      <c r="J245" s="308"/>
      <c r="K245" s="308"/>
    </row>
    <row r="246" spans="8:11" ht="18.75">
      <c r="H246" s="308"/>
      <c r="I246" s="307"/>
      <c r="J246" s="308"/>
      <c r="K246" s="308"/>
    </row>
    <row r="247" spans="8:11" ht="18.75">
      <c r="H247" s="308"/>
      <c r="I247" s="307"/>
      <c r="J247" s="308"/>
      <c r="K247" s="308"/>
    </row>
    <row r="248" spans="8:11" ht="18.75">
      <c r="H248" s="308"/>
      <c r="I248" s="307"/>
      <c r="J248" s="308"/>
      <c r="K248" s="308"/>
    </row>
    <row r="249" spans="8:11" ht="18.75">
      <c r="H249" s="308"/>
      <c r="I249" s="307"/>
      <c r="J249" s="308"/>
      <c r="K249" s="308"/>
    </row>
    <row r="250" spans="8:11" ht="18.75">
      <c r="H250" s="308"/>
      <c r="I250" s="307"/>
      <c r="J250" s="308"/>
      <c r="K250" s="308"/>
    </row>
    <row r="251" spans="8:11" ht="18.75">
      <c r="H251" s="308"/>
      <c r="I251" s="307"/>
      <c r="J251" s="308"/>
      <c r="K251" s="308"/>
    </row>
    <row r="252" spans="8:11" ht="18.75">
      <c r="H252" s="308"/>
      <c r="I252" s="307"/>
      <c r="J252" s="308"/>
      <c r="K252" s="308"/>
    </row>
    <row r="253" spans="8:11" ht="18.75">
      <c r="H253" s="308"/>
      <c r="I253" s="307"/>
      <c r="J253" s="308"/>
      <c r="K253" s="308"/>
    </row>
    <row r="254" spans="8:11" ht="18.75">
      <c r="H254" s="308"/>
      <c r="I254" s="307"/>
      <c r="J254" s="308"/>
      <c r="K254" s="308"/>
    </row>
    <row r="255" spans="8:11" ht="18.75">
      <c r="H255" s="308"/>
      <c r="I255" s="307"/>
      <c r="J255" s="308"/>
      <c r="K255" s="308"/>
    </row>
    <row r="256" spans="8:11" ht="18.75">
      <c r="H256" s="308"/>
      <c r="I256" s="307"/>
      <c r="J256" s="308"/>
      <c r="K256" s="308"/>
    </row>
    <row r="257" spans="8:11" ht="18.75">
      <c r="H257" s="308"/>
      <c r="I257" s="307"/>
      <c r="J257" s="308"/>
      <c r="K257" s="308"/>
    </row>
    <row r="258" spans="8:11" ht="18.75">
      <c r="H258" s="308"/>
      <c r="I258" s="307"/>
      <c r="J258" s="308"/>
      <c r="K258" s="308"/>
    </row>
    <row r="259" spans="8:11" ht="18.75">
      <c r="H259" s="308"/>
      <c r="I259" s="307"/>
      <c r="J259" s="308"/>
      <c r="K259" s="308"/>
    </row>
    <row r="260" spans="8:11" ht="18.75">
      <c r="H260" s="308"/>
      <c r="I260" s="307"/>
      <c r="J260" s="308"/>
      <c r="K260" s="308"/>
    </row>
    <row r="261" spans="8:11" ht="18.75">
      <c r="H261" s="308"/>
      <c r="I261" s="307"/>
      <c r="J261" s="308"/>
      <c r="K261" s="308"/>
    </row>
    <row r="262" spans="8:11" ht="18.75">
      <c r="H262" s="308"/>
      <c r="I262" s="307"/>
      <c r="J262" s="308"/>
      <c r="K262" s="308"/>
    </row>
    <row r="263" spans="8:11" ht="18.75">
      <c r="H263" s="308"/>
      <c r="I263" s="307"/>
      <c r="J263" s="308"/>
      <c r="K263" s="308"/>
    </row>
    <row r="264" spans="8:11" ht="18.75">
      <c r="H264" s="308"/>
      <c r="I264" s="307"/>
      <c r="J264" s="308"/>
      <c r="K264" s="308"/>
    </row>
    <row r="265" spans="8:11" ht="18.75">
      <c r="H265" s="308"/>
      <c r="I265" s="307"/>
      <c r="J265" s="308"/>
      <c r="K265" s="308"/>
    </row>
    <row r="266" spans="8:11" ht="18.75">
      <c r="H266" s="308"/>
      <c r="I266" s="307"/>
      <c r="J266" s="308"/>
      <c r="K266" s="308"/>
    </row>
    <row r="267" spans="8:11" ht="18.75">
      <c r="H267" s="308"/>
      <c r="I267" s="307"/>
      <c r="J267" s="308"/>
      <c r="K267" s="308"/>
    </row>
    <row r="268" spans="8:11" ht="18.75">
      <c r="H268" s="308"/>
      <c r="I268" s="307"/>
      <c r="J268" s="308"/>
      <c r="K268" s="308"/>
    </row>
    <row r="269" spans="8:11" ht="18.75">
      <c r="H269" s="308"/>
      <c r="I269" s="307"/>
      <c r="J269" s="308"/>
      <c r="K269" s="308"/>
    </row>
    <row r="270" spans="8:11" ht="18.75">
      <c r="H270" s="308"/>
      <c r="I270" s="307"/>
      <c r="J270" s="308"/>
      <c r="K270" s="308"/>
    </row>
    <row r="271" spans="8:11" ht="18.75">
      <c r="H271" s="308"/>
      <c r="I271" s="307"/>
      <c r="J271" s="308"/>
      <c r="K271" s="308"/>
    </row>
    <row r="272" spans="8:11" ht="18.75">
      <c r="H272" s="308"/>
      <c r="I272" s="307"/>
      <c r="J272" s="308"/>
      <c r="K272" s="308"/>
    </row>
    <row r="273" spans="8:11" ht="18.75">
      <c r="H273" s="308"/>
      <c r="I273" s="307"/>
      <c r="J273" s="308"/>
      <c r="K273" s="308"/>
    </row>
    <row r="274" spans="8:11" ht="18.75">
      <c r="H274" s="308"/>
      <c r="I274" s="307"/>
      <c r="J274" s="308"/>
      <c r="K274" s="308"/>
    </row>
    <row r="275" spans="8:11" ht="18.75">
      <c r="H275" s="308"/>
      <c r="I275" s="307"/>
      <c r="J275" s="308"/>
      <c r="K275" s="308"/>
    </row>
    <row r="276" spans="8:11" ht="18.75">
      <c r="H276" s="308"/>
      <c r="I276" s="307"/>
      <c r="J276" s="308"/>
      <c r="K276" s="308"/>
    </row>
    <row r="277" spans="8:11" ht="18.75">
      <c r="H277" s="308"/>
      <c r="I277" s="307"/>
      <c r="J277" s="308"/>
      <c r="K277" s="308"/>
    </row>
    <row r="278" spans="8:11" ht="18.75">
      <c r="H278" s="308"/>
      <c r="I278" s="307"/>
      <c r="J278" s="308"/>
      <c r="K278" s="308"/>
    </row>
    <row r="279" spans="8:11" ht="18.75">
      <c r="H279" s="308"/>
      <c r="I279" s="307"/>
      <c r="J279" s="308"/>
      <c r="K279" s="308"/>
    </row>
    <row r="280" spans="8:11" ht="18.75">
      <c r="H280" s="308"/>
      <c r="I280" s="307"/>
      <c r="J280" s="308"/>
      <c r="K280" s="308"/>
    </row>
    <row r="281" spans="8:11" ht="18.75">
      <c r="H281" s="308"/>
      <c r="I281" s="307"/>
      <c r="J281" s="308"/>
      <c r="K281" s="308"/>
    </row>
    <row r="282" spans="8:11" ht="18.75">
      <c r="H282" s="308"/>
      <c r="I282" s="307"/>
      <c r="J282" s="308"/>
      <c r="K282" s="308"/>
    </row>
    <row r="283" spans="8:11" ht="18.75">
      <c r="H283" s="308"/>
      <c r="I283" s="307"/>
      <c r="J283" s="308"/>
      <c r="K283" s="308"/>
    </row>
    <row r="284" spans="8:11" ht="18.75">
      <c r="H284" s="308"/>
      <c r="I284" s="307"/>
      <c r="J284" s="308"/>
      <c r="K284" s="308"/>
    </row>
    <row r="285" spans="8:11" ht="18.75">
      <c r="H285" s="308"/>
      <c r="I285" s="307"/>
      <c r="J285" s="308"/>
      <c r="K285" s="308"/>
    </row>
    <row r="286" spans="8:11" ht="18.75">
      <c r="H286" s="308"/>
      <c r="I286" s="307"/>
      <c r="J286" s="308"/>
      <c r="K286" s="308"/>
    </row>
    <row r="287" spans="8:11" ht="18.75">
      <c r="H287" s="308"/>
      <c r="I287" s="307"/>
      <c r="J287" s="308"/>
      <c r="K287" s="308"/>
    </row>
    <row r="288" spans="8:11" ht="18.75">
      <c r="H288" s="308"/>
      <c r="I288" s="307"/>
      <c r="J288" s="308"/>
      <c r="K288" s="308"/>
    </row>
    <row r="289" spans="8:11" ht="18.75">
      <c r="H289" s="308"/>
      <c r="I289" s="307"/>
      <c r="J289" s="308"/>
      <c r="K289" s="308"/>
    </row>
    <row r="290" spans="8:11" ht="18.75">
      <c r="H290" s="308"/>
      <c r="I290" s="307"/>
      <c r="J290" s="308"/>
      <c r="K290" s="308"/>
    </row>
    <row r="291" spans="8:11" ht="18.75">
      <c r="H291" s="308"/>
      <c r="I291" s="307"/>
      <c r="J291" s="308"/>
      <c r="K291" s="308"/>
    </row>
    <row r="292" spans="8:11" ht="18.75">
      <c r="H292" s="308"/>
      <c r="I292" s="307"/>
      <c r="J292" s="308"/>
      <c r="K292" s="308"/>
    </row>
    <row r="293" spans="8:11" ht="18.75">
      <c r="H293" s="308"/>
      <c r="I293" s="307"/>
      <c r="J293" s="308"/>
      <c r="K293" s="308"/>
    </row>
    <row r="294" spans="8:11" ht="18.75">
      <c r="H294" s="308"/>
      <c r="I294" s="307"/>
      <c r="J294" s="308"/>
      <c r="K294" s="308"/>
    </row>
    <row r="295" spans="8:11" ht="18.75">
      <c r="H295" s="308"/>
      <c r="I295" s="307"/>
      <c r="J295" s="308"/>
      <c r="K295" s="308"/>
    </row>
    <row r="296" spans="8:11" ht="18.75">
      <c r="H296" s="308"/>
      <c r="I296" s="307"/>
      <c r="J296" s="308"/>
      <c r="K296" s="308"/>
    </row>
    <row r="297" spans="8:11" ht="18.75">
      <c r="H297" s="308"/>
      <c r="I297" s="307"/>
      <c r="J297" s="308"/>
      <c r="K297" s="308"/>
    </row>
    <row r="298" spans="8:11" ht="18.75">
      <c r="H298" s="308"/>
      <c r="I298" s="307"/>
      <c r="J298" s="308"/>
      <c r="K298" s="308"/>
    </row>
    <row r="299" spans="8:11" ht="18.75">
      <c r="H299" s="308"/>
      <c r="I299" s="307"/>
      <c r="J299" s="308"/>
      <c r="K299" s="308"/>
    </row>
    <row r="300" spans="8:11" ht="18.75">
      <c r="H300" s="308"/>
      <c r="I300" s="307"/>
      <c r="J300" s="308"/>
      <c r="K300" s="308"/>
    </row>
    <row r="301" spans="8:11" ht="18.75">
      <c r="H301" s="308"/>
      <c r="I301" s="307"/>
      <c r="J301" s="308"/>
      <c r="K301" s="308"/>
    </row>
    <row r="302" spans="8:11" ht="18.75">
      <c r="H302" s="308"/>
      <c r="I302" s="307"/>
      <c r="J302" s="308"/>
      <c r="K302" s="308"/>
    </row>
    <row r="303" spans="8:11" ht="18.75">
      <c r="H303" s="308"/>
      <c r="I303" s="307"/>
      <c r="J303" s="308"/>
      <c r="K303" s="308"/>
    </row>
    <row r="304" spans="8:11" ht="18.75">
      <c r="H304" s="308"/>
      <c r="I304" s="307"/>
      <c r="J304" s="308"/>
      <c r="K304" s="308"/>
    </row>
    <row r="305" spans="8:11" ht="18.75">
      <c r="H305" s="308"/>
      <c r="I305" s="307"/>
      <c r="J305" s="308"/>
      <c r="K305" s="308"/>
    </row>
    <row r="306" spans="8:11" ht="18.75">
      <c r="H306" s="308"/>
      <c r="I306" s="307"/>
      <c r="J306" s="308"/>
      <c r="K306" s="308"/>
    </row>
    <row r="307" spans="8:11" ht="18.75">
      <c r="H307" s="308"/>
      <c r="I307" s="307"/>
      <c r="J307" s="308"/>
      <c r="K307" s="308"/>
    </row>
    <row r="308" spans="8:11" ht="18.75">
      <c r="H308" s="308"/>
      <c r="I308" s="307"/>
      <c r="J308" s="308"/>
      <c r="K308" s="308"/>
    </row>
    <row r="309" spans="8:11" ht="18.75">
      <c r="H309" s="308"/>
      <c r="I309" s="307"/>
      <c r="J309" s="308"/>
      <c r="K309" s="308"/>
    </row>
    <row r="310" spans="8:11" ht="18.75">
      <c r="H310" s="308"/>
      <c r="I310" s="307"/>
      <c r="J310" s="308"/>
      <c r="K310" s="308"/>
    </row>
    <row r="311" spans="8:11" ht="18.75">
      <c r="H311" s="308"/>
      <c r="I311" s="307"/>
      <c r="J311" s="308"/>
      <c r="K311" s="308"/>
    </row>
    <row r="312" spans="8:11" ht="18.75">
      <c r="H312" s="308"/>
      <c r="I312" s="307"/>
      <c r="J312" s="308"/>
      <c r="K312" s="308"/>
    </row>
    <row r="313" spans="8:11" ht="18.75">
      <c r="H313" s="308"/>
      <c r="I313" s="307"/>
      <c r="J313" s="308"/>
      <c r="K313" s="308"/>
    </row>
    <row r="314" spans="8:11" ht="18.75">
      <c r="H314" s="308"/>
      <c r="I314" s="307"/>
      <c r="J314" s="308"/>
      <c r="K314" s="308"/>
    </row>
    <row r="315" spans="8:11" ht="18.75">
      <c r="H315" s="308"/>
      <c r="I315" s="307"/>
      <c r="J315" s="308"/>
      <c r="K315" s="308"/>
    </row>
    <row r="316" spans="8:11" ht="18.75">
      <c r="H316" s="308"/>
      <c r="I316" s="307"/>
      <c r="J316" s="308"/>
      <c r="K316" s="308"/>
    </row>
    <row r="317" spans="8:11" ht="18.75">
      <c r="H317" s="308"/>
      <c r="I317" s="307"/>
      <c r="J317" s="308"/>
      <c r="K317" s="308"/>
    </row>
    <row r="318" spans="8:11" ht="18.75">
      <c r="H318" s="308"/>
      <c r="I318" s="307"/>
      <c r="J318" s="308"/>
      <c r="K318" s="308"/>
    </row>
    <row r="319" spans="8:11" ht="18.75">
      <c r="H319" s="308"/>
      <c r="I319" s="307"/>
      <c r="J319" s="308"/>
      <c r="K319" s="308"/>
    </row>
    <row r="320" spans="8:11" ht="18.75">
      <c r="H320" s="308"/>
      <c r="I320" s="307"/>
      <c r="J320" s="308"/>
      <c r="K320" s="308"/>
    </row>
    <row r="321" spans="8:11" ht="18.75">
      <c r="H321" s="308"/>
      <c r="I321" s="307"/>
      <c r="J321" s="308"/>
      <c r="K321" s="308"/>
    </row>
    <row r="322" spans="8:11" ht="18.75">
      <c r="H322" s="308"/>
      <c r="I322" s="307"/>
      <c r="J322" s="308"/>
      <c r="K322" s="308"/>
    </row>
  </sheetData>
  <sheetProtection/>
  <mergeCells count="16">
    <mergeCell ref="N4:O4"/>
    <mergeCell ref="P4:Q4"/>
    <mergeCell ref="L5:M5"/>
    <mergeCell ref="D4:E4"/>
    <mergeCell ref="F4:G4"/>
    <mergeCell ref="L4:M4"/>
    <mergeCell ref="B1:S1"/>
    <mergeCell ref="B2:S2"/>
    <mergeCell ref="B3:S3"/>
    <mergeCell ref="B4:B6"/>
    <mergeCell ref="R4:S4"/>
    <mergeCell ref="J4:K4"/>
    <mergeCell ref="J5:K5"/>
    <mergeCell ref="R5:S5"/>
    <mergeCell ref="P5:Q5"/>
    <mergeCell ref="N5:O5"/>
  </mergeCells>
  <printOptions/>
  <pageMargins left="0.15748031496062992" right="0.15748031496062992" top="0.5118110236220472" bottom="0.2755905511811024" header="0.5118110236220472" footer="0.15748031496062992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C1">
      <selection activeCell="G29" sqref="A1:G29"/>
    </sheetView>
  </sheetViews>
  <sheetFormatPr defaultColWidth="9.140625" defaultRowHeight="21.75"/>
  <cols>
    <col min="1" max="1" width="6.28125" style="59" customWidth="1"/>
    <col min="2" max="2" width="16.421875" style="60" customWidth="1"/>
    <col min="3" max="3" width="23.00390625" style="61" customWidth="1"/>
    <col min="4" max="4" width="63.7109375" style="61" customWidth="1"/>
    <col min="5" max="5" width="12.421875" style="62" customWidth="1"/>
    <col min="6" max="6" width="16.00390625" style="69" customWidth="1"/>
    <col min="7" max="7" width="9.421875" style="61" customWidth="1"/>
    <col min="8" max="16384" width="9.140625" style="61" customWidth="1"/>
  </cols>
  <sheetData>
    <row r="1" spans="1:7" ht="22.5">
      <c r="A1" s="827" t="s">
        <v>663</v>
      </c>
      <c r="B1" s="827"/>
      <c r="C1" s="827"/>
      <c r="D1" s="827"/>
      <c r="E1" s="827"/>
      <c r="F1" s="827"/>
      <c r="G1" s="514"/>
    </row>
    <row r="2" spans="1:7" ht="22.5">
      <c r="A2" s="828" t="s">
        <v>664</v>
      </c>
      <c r="B2" s="828"/>
      <c r="C2" s="828"/>
      <c r="D2" s="828"/>
      <c r="E2" s="828"/>
      <c r="F2" s="828"/>
      <c r="G2" s="515"/>
    </row>
    <row r="3" spans="1:7" s="63" customFormat="1" ht="23.25">
      <c r="A3" s="516" t="s">
        <v>34</v>
      </c>
      <c r="B3" s="517" t="s">
        <v>185</v>
      </c>
      <c r="C3" s="518" t="s">
        <v>186</v>
      </c>
      <c r="D3" s="518" t="s">
        <v>35</v>
      </c>
      <c r="E3" s="519" t="s">
        <v>19</v>
      </c>
      <c r="F3" s="520" t="s">
        <v>187</v>
      </c>
      <c r="G3" s="521" t="s">
        <v>17</v>
      </c>
    </row>
    <row r="4" spans="1:7" ht="21">
      <c r="A4" s="689">
        <v>1</v>
      </c>
      <c r="B4" s="690" t="s">
        <v>333</v>
      </c>
      <c r="C4" s="691" t="s">
        <v>335</v>
      </c>
      <c r="D4" s="691" t="s">
        <v>337</v>
      </c>
      <c r="E4" s="692">
        <v>8975</v>
      </c>
      <c r="F4" s="693" t="s">
        <v>338</v>
      </c>
      <c r="G4" s="694"/>
    </row>
    <row r="5" spans="1:7" ht="21">
      <c r="A5" s="695">
        <v>2</v>
      </c>
      <c r="B5" s="696" t="s">
        <v>334</v>
      </c>
      <c r="C5" s="697" t="s">
        <v>336</v>
      </c>
      <c r="D5" s="697" t="s">
        <v>337</v>
      </c>
      <c r="E5" s="698">
        <v>4950</v>
      </c>
      <c r="F5" s="699" t="s">
        <v>339</v>
      </c>
      <c r="G5" s="700"/>
    </row>
    <row r="6" spans="1:7" ht="21">
      <c r="A6" s="689">
        <v>3</v>
      </c>
      <c r="B6" s="696" t="s">
        <v>313</v>
      </c>
      <c r="C6" s="702" t="s">
        <v>312</v>
      </c>
      <c r="D6" s="702" t="s">
        <v>314</v>
      </c>
      <c r="E6" s="703">
        <v>4925</v>
      </c>
      <c r="F6" s="699" t="s">
        <v>315</v>
      </c>
      <c r="G6" s="704"/>
    </row>
    <row r="7" spans="1:7" ht="21">
      <c r="A7" s="695">
        <v>4</v>
      </c>
      <c r="B7" s="696" t="s">
        <v>313</v>
      </c>
      <c r="C7" s="702" t="s">
        <v>188</v>
      </c>
      <c r="D7" s="702" t="s">
        <v>316</v>
      </c>
      <c r="E7" s="703">
        <v>12400</v>
      </c>
      <c r="F7" s="699" t="s">
        <v>317</v>
      </c>
      <c r="G7" s="704"/>
    </row>
    <row r="8" spans="1:7" ht="21">
      <c r="A8" s="689">
        <v>5</v>
      </c>
      <c r="B8" s="696" t="s">
        <v>313</v>
      </c>
      <c r="C8" s="702" t="s">
        <v>188</v>
      </c>
      <c r="D8" s="702" t="s">
        <v>318</v>
      </c>
      <c r="E8" s="703">
        <v>9950</v>
      </c>
      <c r="F8" s="699" t="s">
        <v>319</v>
      </c>
      <c r="G8" s="704"/>
    </row>
    <row r="9" spans="1:7" ht="21">
      <c r="A9" s="695">
        <v>6</v>
      </c>
      <c r="B9" s="696" t="s">
        <v>320</v>
      </c>
      <c r="C9" s="702" t="s">
        <v>312</v>
      </c>
      <c r="D9" s="702" t="s">
        <v>321</v>
      </c>
      <c r="E9" s="703">
        <v>4575</v>
      </c>
      <c r="F9" s="699" t="s">
        <v>322</v>
      </c>
      <c r="G9" s="704"/>
    </row>
    <row r="10" spans="1:7" ht="21">
      <c r="A10" s="689">
        <v>7</v>
      </c>
      <c r="B10" s="705" t="s">
        <v>324</v>
      </c>
      <c r="C10" s="706" t="s">
        <v>311</v>
      </c>
      <c r="D10" s="706" t="s">
        <v>325</v>
      </c>
      <c r="E10" s="707">
        <v>3400</v>
      </c>
      <c r="F10" s="708" t="s">
        <v>342</v>
      </c>
      <c r="G10" s="709"/>
    </row>
    <row r="11" spans="1:7" ht="21">
      <c r="A11" s="695">
        <v>8</v>
      </c>
      <c r="B11" s="705" t="s">
        <v>340</v>
      </c>
      <c r="C11" s="706" t="s">
        <v>311</v>
      </c>
      <c r="D11" s="706" t="s">
        <v>341</v>
      </c>
      <c r="E11" s="707">
        <v>4800</v>
      </c>
      <c r="F11" s="708" t="s">
        <v>343</v>
      </c>
      <c r="G11" s="709"/>
    </row>
    <row r="12" spans="1:7" ht="21">
      <c r="A12" s="689">
        <v>9</v>
      </c>
      <c r="B12" s="705" t="s">
        <v>704</v>
      </c>
      <c r="C12" s="706" t="s">
        <v>323</v>
      </c>
      <c r="D12" s="706" t="s">
        <v>719</v>
      </c>
      <c r="E12" s="707">
        <v>13750</v>
      </c>
      <c r="F12" s="708" t="s">
        <v>740</v>
      </c>
      <c r="G12" s="709"/>
    </row>
    <row r="13" spans="1:7" ht="21">
      <c r="A13" s="695">
        <v>10</v>
      </c>
      <c r="B13" s="705" t="s">
        <v>706</v>
      </c>
      <c r="C13" s="706" t="s">
        <v>310</v>
      </c>
      <c r="D13" s="706" t="s">
        <v>720</v>
      </c>
      <c r="E13" s="707">
        <v>4450</v>
      </c>
      <c r="F13" s="708" t="s">
        <v>741</v>
      </c>
      <c r="G13" s="709"/>
    </row>
    <row r="14" spans="1:7" ht="21">
      <c r="A14" s="689">
        <v>11</v>
      </c>
      <c r="B14" s="705" t="s">
        <v>705</v>
      </c>
      <c r="C14" s="706" t="s">
        <v>716</v>
      </c>
      <c r="D14" s="706" t="s">
        <v>721</v>
      </c>
      <c r="E14" s="707">
        <v>48750</v>
      </c>
      <c r="F14" s="708" t="s">
        <v>742</v>
      </c>
      <c r="G14" s="709"/>
    </row>
    <row r="15" spans="1:7" ht="21">
      <c r="A15" s="695">
        <v>12</v>
      </c>
      <c r="B15" s="705" t="s">
        <v>707</v>
      </c>
      <c r="C15" s="706" t="s">
        <v>717</v>
      </c>
      <c r="D15" s="706" t="s">
        <v>722</v>
      </c>
      <c r="E15" s="707">
        <v>1445</v>
      </c>
      <c r="F15" s="708" t="s">
        <v>743</v>
      </c>
      <c r="G15" s="709"/>
    </row>
    <row r="16" spans="1:7" ht="21">
      <c r="A16" s="689">
        <v>13</v>
      </c>
      <c r="B16" s="705" t="s">
        <v>708</v>
      </c>
      <c r="C16" s="706" t="s">
        <v>718</v>
      </c>
      <c r="D16" s="706" t="s">
        <v>723</v>
      </c>
      <c r="E16" s="707">
        <v>4300</v>
      </c>
      <c r="F16" s="708" t="s">
        <v>744</v>
      </c>
      <c r="G16" s="709"/>
    </row>
    <row r="17" spans="1:7" ht="21">
      <c r="A17" s="695">
        <v>14</v>
      </c>
      <c r="B17" s="705" t="s">
        <v>709</v>
      </c>
      <c r="C17" s="706" t="s">
        <v>717</v>
      </c>
      <c r="D17" s="706" t="s">
        <v>724</v>
      </c>
      <c r="E17" s="707">
        <v>2200</v>
      </c>
      <c r="F17" s="708" t="s">
        <v>745</v>
      </c>
      <c r="G17" s="709"/>
    </row>
    <row r="18" spans="1:7" ht="21">
      <c r="A18" s="689">
        <v>15</v>
      </c>
      <c r="B18" s="705" t="s">
        <v>710</v>
      </c>
      <c r="C18" s="706" t="s">
        <v>717</v>
      </c>
      <c r="D18" s="706" t="s">
        <v>722</v>
      </c>
      <c r="E18" s="707">
        <v>1820</v>
      </c>
      <c r="F18" s="708" t="s">
        <v>746</v>
      </c>
      <c r="G18" s="709"/>
    </row>
    <row r="19" spans="1:7" ht="21">
      <c r="A19" s="695">
        <v>16</v>
      </c>
      <c r="B19" s="705" t="s">
        <v>711</v>
      </c>
      <c r="C19" s="706" t="s">
        <v>718</v>
      </c>
      <c r="D19" s="706" t="s">
        <v>725</v>
      </c>
      <c r="E19" s="707">
        <v>4900</v>
      </c>
      <c r="F19" s="708" t="s">
        <v>747</v>
      </c>
      <c r="G19" s="709"/>
    </row>
    <row r="20" spans="1:7" ht="21">
      <c r="A20" s="689">
        <v>17</v>
      </c>
      <c r="B20" s="705" t="s">
        <v>712</v>
      </c>
      <c r="C20" s="706" t="s">
        <v>717</v>
      </c>
      <c r="D20" s="706" t="s">
        <v>726</v>
      </c>
      <c r="E20" s="707">
        <v>481</v>
      </c>
      <c r="F20" s="708" t="s">
        <v>748</v>
      </c>
      <c r="G20" s="709"/>
    </row>
    <row r="21" spans="1:7" ht="21">
      <c r="A21" s="695">
        <v>18</v>
      </c>
      <c r="B21" s="705" t="s">
        <v>713</v>
      </c>
      <c r="C21" s="706" t="s">
        <v>323</v>
      </c>
      <c r="D21" s="706" t="s">
        <v>727</v>
      </c>
      <c r="E21" s="707">
        <v>99678</v>
      </c>
      <c r="F21" s="708" t="s">
        <v>749</v>
      </c>
      <c r="G21" s="709"/>
    </row>
    <row r="22" spans="1:7" ht="21">
      <c r="A22" s="689">
        <v>19</v>
      </c>
      <c r="B22" s="705" t="s">
        <v>714</v>
      </c>
      <c r="C22" s="706" t="s">
        <v>718</v>
      </c>
      <c r="D22" s="706" t="s">
        <v>728</v>
      </c>
      <c r="E22" s="707">
        <v>421</v>
      </c>
      <c r="F22" s="708" t="s">
        <v>750</v>
      </c>
      <c r="G22" s="709"/>
    </row>
    <row r="23" spans="1:7" ht="21">
      <c r="A23" s="695">
        <v>20</v>
      </c>
      <c r="B23" s="705" t="s">
        <v>715</v>
      </c>
      <c r="C23" s="706" t="s">
        <v>323</v>
      </c>
      <c r="D23" s="706" t="s">
        <v>681</v>
      </c>
      <c r="E23" s="707">
        <v>12250</v>
      </c>
      <c r="F23" s="708"/>
      <c r="G23" s="709"/>
    </row>
    <row r="24" spans="1:7" ht="21">
      <c r="A24" s="689">
        <v>21</v>
      </c>
      <c r="B24" s="705" t="s">
        <v>715</v>
      </c>
      <c r="C24" s="706" t="s">
        <v>323</v>
      </c>
      <c r="D24" s="706" t="s">
        <v>679</v>
      </c>
      <c r="E24" s="707">
        <v>11375</v>
      </c>
      <c r="F24" s="708"/>
      <c r="G24" s="709"/>
    </row>
    <row r="25" spans="1:7" ht="21">
      <c r="A25" s="695">
        <v>22</v>
      </c>
      <c r="B25" s="705" t="s">
        <v>715</v>
      </c>
      <c r="C25" s="706" t="s">
        <v>323</v>
      </c>
      <c r="D25" s="706" t="s">
        <v>729</v>
      </c>
      <c r="E25" s="707">
        <v>12190</v>
      </c>
      <c r="F25" s="708"/>
      <c r="G25" s="709"/>
    </row>
    <row r="26" spans="1:7" ht="21">
      <c r="A26" s="689">
        <v>23</v>
      </c>
      <c r="B26" s="705" t="s">
        <v>715</v>
      </c>
      <c r="C26" s="706" t="s">
        <v>323</v>
      </c>
      <c r="D26" s="706" t="s">
        <v>730</v>
      </c>
      <c r="E26" s="707">
        <v>14900</v>
      </c>
      <c r="F26" s="708"/>
      <c r="G26" s="709"/>
    </row>
    <row r="27" spans="1:7" ht="21">
      <c r="A27" s="695">
        <v>24</v>
      </c>
      <c r="B27" s="705" t="s">
        <v>715</v>
      </c>
      <c r="C27" s="706" t="s">
        <v>323</v>
      </c>
      <c r="D27" s="706" t="s">
        <v>731</v>
      </c>
      <c r="E27" s="707">
        <v>14900</v>
      </c>
      <c r="F27" s="708"/>
      <c r="G27" s="709"/>
    </row>
    <row r="28" spans="1:7" ht="21">
      <c r="A28" s="701">
        <v>25</v>
      </c>
      <c r="B28" s="705" t="s">
        <v>715</v>
      </c>
      <c r="C28" s="706" t="s">
        <v>323</v>
      </c>
      <c r="D28" s="706" t="s">
        <v>732</v>
      </c>
      <c r="E28" s="707">
        <v>14900</v>
      </c>
      <c r="F28" s="708"/>
      <c r="G28" s="709"/>
    </row>
    <row r="29" spans="1:7" ht="21">
      <c r="A29" s="829" t="s">
        <v>0</v>
      </c>
      <c r="B29" s="830"/>
      <c r="C29" s="830"/>
      <c r="D29" s="831"/>
      <c r="E29" s="710">
        <f>SUM(E4:E28)</f>
        <v>316685</v>
      </c>
      <c r="F29" s="711"/>
      <c r="G29" s="712"/>
    </row>
    <row r="30" spans="1:7" s="63" customFormat="1" ht="23.25">
      <c r="A30" s="522"/>
      <c r="B30" s="522"/>
      <c r="C30" s="522"/>
      <c r="D30" s="522"/>
      <c r="E30" s="523"/>
      <c r="F30" s="524"/>
      <c r="G30" s="525"/>
    </row>
    <row r="31" spans="1:7" s="63" customFormat="1" ht="23.25">
      <c r="A31" s="65"/>
      <c r="B31" s="65"/>
      <c r="C31" s="65"/>
      <c r="D31" s="65"/>
      <c r="E31" s="66"/>
      <c r="F31" s="64"/>
      <c r="G31" s="68"/>
    </row>
    <row r="32" spans="6:7" ht="21.75">
      <c r="F32" s="67"/>
      <c r="G32" s="68"/>
    </row>
    <row r="33" ht="21.75">
      <c r="G33" s="68"/>
    </row>
    <row r="34" ht="21.75">
      <c r="G34" s="68"/>
    </row>
    <row r="35" spans="1:7" ht="21.75">
      <c r="A35" s="70"/>
      <c r="G35" s="68"/>
    </row>
    <row r="36" spans="2:7" ht="21.75">
      <c r="B36" s="71"/>
      <c r="C36" s="72"/>
      <c r="D36" s="72"/>
      <c r="G36" s="68"/>
    </row>
    <row r="37" spans="2:7" ht="21.75">
      <c r="B37" s="71"/>
      <c r="C37" s="72"/>
      <c r="D37" s="73"/>
      <c r="G37" s="64"/>
    </row>
    <row r="38" spans="2:7" ht="21.75">
      <c r="B38" s="71"/>
      <c r="C38" s="72"/>
      <c r="D38" s="73"/>
      <c r="G38" s="74"/>
    </row>
    <row r="39" spans="6:7" ht="23.25" customHeight="1">
      <c r="F39" s="67"/>
      <c r="G39" s="74"/>
    </row>
  </sheetData>
  <sheetProtection/>
  <mergeCells count="3">
    <mergeCell ref="A1:F1"/>
    <mergeCell ref="A2:F2"/>
    <mergeCell ref="A29:D29"/>
  </mergeCells>
  <printOptions/>
  <pageMargins left="0.1968503937007874" right="0.03937007874015748" top="0.1968503937007874" bottom="0" header="0.31496062992125984" footer="0.3149606299212598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4" sqref="A1:D14"/>
    </sheetView>
  </sheetViews>
  <sheetFormatPr defaultColWidth="9.140625" defaultRowHeight="21.75"/>
  <cols>
    <col min="1" max="1" width="7.7109375" style="0" customWidth="1"/>
    <col min="2" max="2" width="53.140625" style="0" customWidth="1"/>
    <col min="3" max="3" width="16.140625" style="0" customWidth="1"/>
    <col min="4" max="4" width="31.00390625" style="0" customWidth="1"/>
  </cols>
  <sheetData>
    <row r="1" spans="1:4" ht="23.25">
      <c r="A1" s="215"/>
      <c r="B1" s="215"/>
      <c r="C1" s="215"/>
      <c r="D1" s="205" t="s">
        <v>733</v>
      </c>
    </row>
    <row r="2" spans="1:4" ht="23.25">
      <c r="A2" s="819" t="s">
        <v>216</v>
      </c>
      <c r="B2" s="819"/>
      <c r="C2" s="819"/>
      <c r="D2" s="819"/>
    </row>
    <row r="3" spans="1:4" ht="23.25">
      <c r="A3" s="819" t="s">
        <v>734</v>
      </c>
      <c r="B3" s="819"/>
      <c r="C3" s="819"/>
      <c r="D3" s="819"/>
    </row>
    <row r="4" spans="1:4" ht="23.25">
      <c r="A4" s="819" t="s">
        <v>652</v>
      </c>
      <c r="B4" s="819"/>
      <c r="C4" s="819"/>
      <c r="D4" s="819"/>
    </row>
    <row r="5" spans="1:4" ht="23.25">
      <c r="A5" s="222"/>
      <c r="B5" s="500"/>
      <c r="C5" s="222"/>
      <c r="D5" s="222"/>
    </row>
    <row r="6" spans="1:4" ht="23.25">
      <c r="A6" s="180" t="s">
        <v>34</v>
      </c>
      <c r="B6" s="501" t="s">
        <v>35</v>
      </c>
      <c r="C6" s="180" t="s">
        <v>19</v>
      </c>
      <c r="D6" s="180" t="s">
        <v>17</v>
      </c>
    </row>
    <row r="7" spans="1:4" s="716" customFormat="1" ht="21.75">
      <c r="A7" s="713">
        <v>1</v>
      </c>
      <c r="B7" s="714" t="s">
        <v>763</v>
      </c>
      <c r="C7" s="715">
        <v>64900</v>
      </c>
      <c r="D7" s="714"/>
    </row>
    <row r="8" spans="1:4" s="716" customFormat="1" ht="21.75">
      <c r="A8" s="717">
        <v>2</v>
      </c>
      <c r="B8" s="718" t="s">
        <v>764</v>
      </c>
      <c r="C8" s="719">
        <v>7500</v>
      </c>
      <c r="D8" s="718"/>
    </row>
    <row r="9" spans="1:4" s="716" customFormat="1" ht="21.75">
      <c r="A9" s="717">
        <v>3</v>
      </c>
      <c r="B9" s="718" t="s">
        <v>765</v>
      </c>
      <c r="C9" s="719">
        <v>1089</v>
      </c>
      <c r="D9" s="720"/>
    </row>
    <row r="10" spans="1:4" s="716" customFormat="1" ht="21.75">
      <c r="A10" s="717">
        <v>4</v>
      </c>
      <c r="B10" s="718" t="s">
        <v>766</v>
      </c>
      <c r="C10" s="719">
        <v>3500</v>
      </c>
      <c r="D10" s="718"/>
    </row>
    <row r="11" spans="1:4" ht="23.25">
      <c r="A11" s="505"/>
      <c r="B11" s="508"/>
      <c r="C11" s="680"/>
      <c r="D11" s="508"/>
    </row>
    <row r="12" spans="1:4" ht="23.25">
      <c r="A12" s="505"/>
      <c r="B12" s="506"/>
      <c r="C12" s="507"/>
      <c r="D12" s="508"/>
    </row>
    <row r="13" spans="1:4" ht="23.25">
      <c r="A13" s="505"/>
      <c r="B13" s="506"/>
      <c r="C13" s="507"/>
      <c r="D13" s="508"/>
    </row>
    <row r="14" spans="1:4" ht="23.25">
      <c r="A14" s="510"/>
      <c r="B14" s="511" t="s">
        <v>0</v>
      </c>
      <c r="C14" s="512">
        <f>SUM(C7:C13)</f>
        <v>76989</v>
      </c>
      <c r="D14" s="513"/>
    </row>
    <row r="15" spans="1:4" ht="21.75">
      <c r="A15" s="215"/>
      <c r="B15" s="215"/>
      <c r="C15" s="215"/>
      <c r="D15" s="215"/>
    </row>
  </sheetData>
  <sheetProtection/>
  <mergeCells count="3">
    <mergeCell ref="A2:D2"/>
    <mergeCell ref="A3:D3"/>
    <mergeCell ref="A4:D4"/>
  </mergeCells>
  <printOptions/>
  <pageMargins left="0.15748031496062992" right="0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F48" sqref="A1:F48"/>
    </sheetView>
  </sheetViews>
  <sheetFormatPr defaultColWidth="9.140625" defaultRowHeight="21.75"/>
  <cols>
    <col min="1" max="1" width="65.8515625" style="204" customWidth="1"/>
    <col min="2" max="2" width="14.8515625" style="204" customWidth="1"/>
    <col min="3" max="3" width="14.8515625" style="539" customWidth="1"/>
    <col min="4" max="5" width="14.8515625" style="204" customWidth="1"/>
    <col min="6" max="6" width="14.140625" style="204" customWidth="1"/>
    <col min="7" max="16384" width="9.140625" style="204" customWidth="1"/>
  </cols>
  <sheetData>
    <row r="1" spans="1:6" ht="19.5">
      <c r="A1" s="834" t="s">
        <v>216</v>
      </c>
      <c r="B1" s="834"/>
      <c r="C1" s="834"/>
      <c r="D1" s="834"/>
      <c r="E1" s="834"/>
      <c r="F1" s="834"/>
    </row>
    <row r="2" spans="1:6" ht="19.5">
      <c r="A2" s="834" t="s">
        <v>97</v>
      </c>
      <c r="B2" s="834"/>
      <c r="C2" s="834"/>
      <c r="D2" s="834"/>
      <c r="E2" s="834"/>
      <c r="F2" s="834"/>
    </row>
    <row r="3" spans="1:6" ht="19.5">
      <c r="A3" s="834" t="s">
        <v>18</v>
      </c>
      <c r="B3" s="834"/>
      <c r="C3" s="834"/>
      <c r="D3" s="834"/>
      <c r="E3" s="834"/>
      <c r="F3" s="834"/>
    </row>
    <row r="4" spans="1:6" ht="19.5">
      <c r="A4" s="835" t="s">
        <v>660</v>
      </c>
      <c r="B4" s="835"/>
      <c r="C4" s="835"/>
      <c r="D4" s="835"/>
      <c r="E4" s="835"/>
      <c r="F4" s="835"/>
    </row>
    <row r="5" spans="1:6" ht="19.5">
      <c r="A5" s="526" t="s">
        <v>98</v>
      </c>
      <c r="B5" s="832" t="s">
        <v>19</v>
      </c>
      <c r="C5" s="833"/>
      <c r="D5" s="526" t="s">
        <v>16</v>
      </c>
      <c r="E5" s="526" t="s">
        <v>20</v>
      </c>
      <c r="F5" s="526" t="s">
        <v>17</v>
      </c>
    </row>
    <row r="6" spans="1:6" ht="19.5">
      <c r="A6" s="527"/>
      <c r="B6" s="527" t="s">
        <v>15</v>
      </c>
      <c r="C6" s="528" t="s">
        <v>78</v>
      </c>
      <c r="D6" s="527"/>
      <c r="E6" s="527"/>
      <c r="F6" s="527"/>
    </row>
    <row r="7" spans="1:6" ht="19.5">
      <c r="A7" s="529" t="s">
        <v>43</v>
      </c>
      <c r="B7" s="530"/>
      <c r="C7" s="531"/>
      <c r="D7" s="530"/>
      <c r="E7" s="530"/>
      <c r="F7" s="530"/>
    </row>
    <row r="8" spans="1:6" ht="19.5">
      <c r="A8" s="532" t="s">
        <v>665</v>
      </c>
      <c r="B8" s="533">
        <v>0</v>
      </c>
      <c r="C8" s="533">
        <v>100000</v>
      </c>
      <c r="D8" s="533">
        <v>0</v>
      </c>
      <c r="E8" s="533">
        <f>SUM(C8-D8)</f>
        <v>100000</v>
      </c>
      <c r="F8" s="534"/>
    </row>
    <row r="9" spans="1:6" ht="19.5">
      <c r="A9" s="532" t="s">
        <v>666</v>
      </c>
      <c r="B9" s="533"/>
      <c r="C9" s="533">
        <v>100000</v>
      </c>
      <c r="D9" s="533">
        <v>0</v>
      </c>
      <c r="E9" s="533">
        <f>C9-D9</f>
        <v>100000</v>
      </c>
      <c r="F9" s="534"/>
    </row>
    <row r="10" spans="1:6" ht="19.5">
      <c r="A10" s="532" t="s">
        <v>667</v>
      </c>
      <c r="B10" s="533"/>
      <c r="C10" s="533">
        <v>45000</v>
      </c>
      <c r="D10" s="533">
        <v>0</v>
      </c>
      <c r="E10" s="533">
        <f>C10-D10</f>
        <v>45000</v>
      </c>
      <c r="F10" s="534"/>
    </row>
    <row r="11" spans="1:6" ht="21">
      <c r="A11" s="685" t="s">
        <v>31</v>
      </c>
      <c r="B11" s="536"/>
      <c r="C11" s="533"/>
      <c r="D11" s="533"/>
      <c r="E11" s="533"/>
      <c r="F11" s="534"/>
    </row>
    <row r="12" spans="1:6" ht="19.5">
      <c r="A12" s="532" t="s">
        <v>668</v>
      </c>
      <c r="B12" s="533"/>
      <c r="C12" s="533">
        <v>55000</v>
      </c>
      <c r="D12" s="533">
        <v>0</v>
      </c>
      <c r="E12" s="533">
        <f aca="true" t="shared" si="0" ref="E12:E19">C12-D12</f>
        <v>55000</v>
      </c>
      <c r="F12" s="534"/>
    </row>
    <row r="13" spans="1:6" ht="19.5">
      <c r="A13" s="532" t="s">
        <v>669</v>
      </c>
      <c r="B13" s="533"/>
      <c r="C13" s="533">
        <v>18000</v>
      </c>
      <c r="D13" s="533">
        <v>0</v>
      </c>
      <c r="E13" s="533">
        <f t="shared" si="0"/>
        <v>18000</v>
      </c>
      <c r="F13" s="534"/>
    </row>
    <row r="14" spans="1:6" ht="19.5">
      <c r="A14" s="532" t="s">
        <v>670</v>
      </c>
      <c r="B14" s="537"/>
      <c r="C14" s="533">
        <v>100000</v>
      </c>
      <c r="D14" s="533">
        <v>0</v>
      </c>
      <c r="E14" s="537">
        <f t="shared" si="0"/>
        <v>100000</v>
      </c>
      <c r="F14" s="534"/>
    </row>
    <row r="15" spans="1:6" ht="19.5">
      <c r="A15" s="532" t="s">
        <v>671</v>
      </c>
      <c r="B15" s="537"/>
      <c r="C15" s="533">
        <v>100000</v>
      </c>
      <c r="D15" s="533">
        <v>0</v>
      </c>
      <c r="E15" s="537">
        <f t="shared" si="0"/>
        <v>100000</v>
      </c>
      <c r="F15" s="534"/>
    </row>
    <row r="16" spans="1:6" ht="19.5">
      <c r="A16" s="532" t="s">
        <v>672</v>
      </c>
      <c r="B16" s="537"/>
      <c r="C16" s="533">
        <v>100000</v>
      </c>
      <c r="D16" s="533">
        <v>0</v>
      </c>
      <c r="E16" s="537">
        <f t="shared" si="0"/>
        <v>100000</v>
      </c>
      <c r="F16" s="534"/>
    </row>
    <row r="17" spans="1:6" ht="19.5">
      <c r="A17" s="532" t="s">
        <v>673</v>
      </c>
      <c r="B17" s="537"/>
      <c r="C17" s="533">
        <v>100000</v>
      </c>
      <c r="D17" s="533">
        <v>0</v>
      </c>
      <c r="E17" s="537">
        <f t="shared" si="0"/>
        <v>100000</v>
      </c>
      <c r="F17" s="534"/>
    </row>
    <row r="18" spans="1:6" ht="19.5">
      <c r="A18" s="532" t="s">
        <v>674</v>
      </c>
      <c r="B18" s="537"/>
      <c r="C18" s="533">
        <v>100000</v>
      </c>
      <c r="D18" s="533">
        <v>0</v>
      </c>
      <c r="E18" s="537">
        <f t="shared" si="0"/>
        <v>100000</v>
      </c>
      <c r="F18" s="534"/>
    </row>
    <row r="19" spans="1:6" ht="19.5">
      <c r="A19" s="532" t="s">
        <v>675</v>
      </c>
      <c r="B19" s="537"/>
      <c r="C19" s="533">
        <v>100000</v>
      </c>
      <c r="D19" s="533">
        <v>0</v>
      </c>
      <c r="E19" s="537">
        <f t="shared" si="0"/>
        <v>100000</v>
      </c>
      <c r="F19" s="534"/>
    </row>
    <row r="20" spans="1:6" ht="19.5">
      <c r="A20" s="532" t="s">
        <v>676</v>
      </c>
      <c r="B20" s="537"/>
      <c r="C20" s="533">
        <v>100000</v>
      </c>
      <c r="D20" s="533">
        <v>0</v>
      </c>
      <c r="E20" s="537">
        <f>C20</f>
        <v>100000</v>
      </c>
      <c r="F20" s="534"/>
    </row>
    <row r="21" spans="1:6" ht="19.5">
      <c r="A21" s="532" t="s">
        <v>682</v>
      </c>
      <c r="B21" s="537"/>
      <c r="C21" s="533">
        <v>100000</v>
      </c>
      <c r="D21" s="533">
        <v>0</v>
      </c>
      <c r="E21" s="537">
        <f>C21-D21</f>
        <v>100000</v>
      </c>
      <c r="F21" s="534"/>
    </row>
    <row r="22" spans="1:6" ht="19.5">
      <c r="A22" s="532"/>
      <c r="B22" s="537"/>
      <c r="C22" s="533"/>
      <c r="D22" s="533"/>
      <c r="E22" s="537"/>
      <c r="F22" s="534"/>
    </row>
    <row r="23" spans="1:6" ht="19.5">
      <c r="A23" s="532" t="s">
        <v>99</v>
      </c>
      <c r="B23" s="537"/>
      <c r="C23" s="537"/>
      <c r="D23" s="537"/>
      <c r="E23" s="537"/>
      <c r="F23" s="534"/>
    </row>
    <row r="24" spans="1:6" ht="20.25" thickBot="1">
      <c r="A24" s="532"/>
      <c r="B24" s="538">
        <f>SUM(B8:B23)</f>
        <v>0</v>
      </c>
      <c r="C24" s="538">
        <f>0</f>
        <v>0</v>
      </c>
      <c r="D24" s="538">
        <f>SUM(D8:D23)</f>
        <v>0</v>
      </c>
      <c r="E24" s="538">
        <f>0</f>
        <v>0</v>
      </c>
      <c r="F24" s="534"/>
    </row>
    <row r="25" ht="20.25" thickTop="1"/>
    <row r="26" spans="1:6" ht="19.5">
      <c r="A26" s="834" t="s">
        <v>216</v>
      </c>
      <c r="B26" s="834"/>
      <c r="C26" s="834"/>
      <c r="D26" s="834"/>
      <c r="E26" s="834"/>
      <c r="F26" s="834"/>
    </row>
    <row r="27" spans="1:6" ht="19.5">
      <c r="A27" s="834" t="s">
        <v>97</v>
      </c>
      <c r="B27" s="834"/>
      <c r="C27" s="834"/>
      <c r="D27" s="834"/>
      <c r="E27" s="834"/>
      <c r="F27" s="834"/>
    </row>
    <row r="28" spans="1:6" ht="19.5">
      <c r="A28" s="834" t="s">
        <v>18</v>
      </c>
      <c r="B28" s="834"/>
      <c r="C28" s="834"/>
      <c r="D28" s="834"/>
      <c r="E28" s="834"/>
      <c r="F28" s="834"/>
    </row>
    <row r="29" spans="1:6" ht="19.5">
      <c r="A29" s="835" t="s">
        <v>660</v>
      </c>
      <c r="B29" s="835"/>
      <c r="C29" s="835"/>
      <c r="D29" s="835"/>
      <c r="E29" s="835"/>
      <c r="F29" s="835"/>
    </row>
    <row r="30" spans="1:6" ht="19.5">
      <c r="A30" s="526" t="s">
        <v>98</v>
      </c>
      <c r="B30" s="832" t="s">
        <v>19</v>
      </c>
      <c r="C30" s="833"/>
      <c r="D30" s="526" t="s">
        <v>16</v>
      </c>
      <c r="E30" s="526" t="s">
        <v>20</v>
      </c>
      <c r="F30" s="526" t="s">
        <v>17</v>
      </c>
    </row>
    <row r="31" spans="1:6" ht="19.5">
      <c r="A31" s="527"/>
      <c r="B31" s="527" t="s">
        <v>15</v>
      </c>
      <c r="C31" s="528" t="s">
        <v>78</v>
      </c>
      <c r="D31" s="527"/>
      <c r="E31" s="527"/>
      <c r="F31" s="527"/>
    </row>
    <row r="32" spans="1:6" ht="21">
      <c r="A32" s="685" t="s">
        <v>683</v>
      </c>
      <c r="B32" s="536"/>
      <c r="C32" s="533"/>
      <c r="D32" s="533"/>
      <c r="E32" s="533"/>
      <c r="F32" s="534"/>
    </row>
    <row r="33" spans="1:6" ht="19.5">
      <c r="A33" s="532" t="s">
        <v>677</v>
      </c>
      <c r="B33" s="537"/>
      <c r="C33" s="533">
        <v>100000</v>
      </c>
      <c r="D33" s="533">
        <v>0</v>
      </c>
      <c r="E33" s="537">
        <f>C33-D33</f>
        <v>100000</v>
      </c>
      <c r="F33" s="534"/>
    </row>
    <row r="34" spans="1:6" ht="19.5">
      <c r="A34" s="532" t="s">
        <v>678</v>
      </c>
      <c r="B34" s="537"/>
      <c r="C34" s="533">
        <v>100000</v>
      </c>
      <c r="D34" s="533">
        <v>0</v>
      </c>
      <c r="E34" s="537">
        <f>C34-D34</f>
        <v>100000</v>
      </c>
      <c r="F34" s="534"/>
    </row>
    <row r="35" spans="1:6" ht="19.5">
      <c r="A35" s="532" t="s">
        <v>679</v>
      </c>
      <c r="B35" s="537"/>
      <c r="C35" s="533">
        <v>100000</v>
      </c>
      <c r="D35" s="533">
        <v>0</v>
      </c>
      <c r="E35" s="537">
        <f>C35-D35</f>
        <v>100000</v>
      </c>
      <c r="F35" s="534"/>
    </row>
    <row r="36" spans="1:6" ht="19.5">
      <c r="A36" s="532" t="s">
        <v>680</v>
      </c>
      <c r="B36" s="537"/>
      <c r="C36" s="533">
        <v>100000</v>
      </c>
      <c r="D36" s="533">
        <v>0</v>
      </c>
      <c r="E36" s="537">
        <f>C36-D36</f>
        <v>100000</v>
      </c>
      <c r="F36" s="534"/>
    </row>
    <row r="37" spans="1:6" ht="19.5">
      <c r="A37" s="532" t="s">
        <v>681</v>
      </c>
      <c r="B37" s="537"/>
      <c r="C37" s="533">
        <v>100000</v>
      </c>
      <c r="D37" s="533">
        <v>0</v>
      </c>
      <c r="E37" s="537">
        <f>C37-D37</f>
        <v>100000</v>
      </c>
      <c r="F37" s="534"/>
    </row>
    <row r="38" spans="1:6" ht="19.5">
      <c r="A38" s="532" t="s">
        <v>684</v>
      </c>
      <c r="B38" s="537">
        <v>298000</v>
      </c>
      <c r="C38" s="533"/>
      <c r="D38" s="533">
        <v>0</v>
      </c>
      <c r="E38" s="537">
        <f aca="true" t="shared" si="1" ref="E38:E43">B38-D38</f>
        <v>298000</v>
      </c>
      <c r="F38" s="534"/>
    </row>
    <row r="39" spans="1:6" ht="19.5">
      <c r="A39" s="532" t="s">
        <v>685</v>
      </c>
      <c r="B39" s="537">
        <v>227500</v>
      </c>
      <c r="C39" s="533"/>
      <c r="D39" s="533">
        <v>0</v>
      </c>
      <c r="E39" s="537">
        <f t="shared" si="1"/>
        <v>227500</v>
      </c>
      <c r="F39" s="534"/>
    </row>
    <row r="40" spans="1:6" ht="19.5">
      <c r="A40" s="532" t="s">
        <v>681</v>
      </c>
      <c r="B40" s="537">
        <v>245000</v>
      </c>
      <c r="C40" s="533"/>
      <c r="D40" s="533">
        <v>0</v>
      </c>
      <c r="E40" s="537">
        <f t="shared" si="1"/>
        <v>245000</v>
      </c>
      <c r="F40" s="534"/>
    </row>
    <row r="41" spans="1:6" ht="19.5">
      <c r="A41" s="532" t="s">
        <v>680</v>
      </c>
      <c r="B41" s="537">
        <v>243800</v>
      </c>
      <c r="C41" s="533"/>
      <c r="D41" s="533">
        <v>0</v>
      </c>
      <c r="E41" s="537">
        <f t="shared" si="1"/>
        <v>243800</v>
      </c>
      <c r="F41" s="534"/>
    </row>
    <row r="42" spans="1:6" ht="19.5">
      <c r="A42" s="532" t="s">
        <v>686</v>
      </c>
      <c r="B42" s="537">
        <v>298000</v>
      </c>
      <c r="C42" s="533"/>
      <c r="D42" s="533">
        <v>0</v>
      </c>
      <c r="E42" s="537">
        <f t="shared" si="1"/>
        <v>298000</v>
      </c>
      <c r="F42" s="534"/>
    </row>
    <row r="43" spans="1:6" ht="19.5">
      <c r="A43" s="532" t="s">
        <v>687</v>
      </c>
      <c r="B43" s="537">
        <v>298000</v>
      </c>
      <c r="C43" s="533"/>
      <c r="D43" s="533">
        <v>0</v>
      </c>
      <c r="E43" s="537">
        <f t="shared" si="1"/>
        <v>298000</v>
      </c>
      <c r="F43" s="534"/>
    </row>
    <row r="44" spans="1:6" ht="19.5">
      <c r="A44" s="532"/>
      <c r="B44" s="537"/>
      <c r="C44" s="533"/>
      <c r="D44" s="533"/>
      <c r="E44" s="537"/>
      <c r="F44" s="534"/>
    </row>
    <row r="45" spans="1:6" ht="19.5">
      <c r="A45" s="532"/>
      <c r="B45" s="537"/>
      <c r="C45" s="533"/>
      <c r="D45" s="533"/>
      <c r="E45" s="537"/>
      <c r="F45" s="534"/>
    </row>
    <row r="46" spans="1:6" ht="19.5">
      <c r="A46" s="532"/>
      <c r="B46" s="537"/>
      <c r="C46" s="533"/>
      <c r="D46" s="533"/>
      <c r="E46" s="537"/>
      <c r="F46" s="534"/>
    </row>
    <row r="47" spans="1:6" ht="19.5">
      <c r="A47" s="532" t="s">
        <v>99</v>
      </c>
      <c r="B47" s="537"/>
      <c r="C47" s="537"/>
      <c r="D47" s="537"/>
      <c r="E47" s="537"/>
      <c r="F47" s="534"/>
    </row>
    <row r="48" spans="1:6" ht="20.25" thickBot="1">
      <c r="A48" s="532"/>
      <c r="B48" s="538">
        <f>SUM(B32:B47)</f>
        <v>1610300</v>
      </c>
      <c r="C48" s="538">
        <f>C8+C9+C10+C12+C13+C14+C15+C16+C17+C18+C19+C20+C21+C33+C34+C35+C36+C37</f>
        <v>1618000</v>
      </c>
      <c r="D48" s="538">
        <f>SUM(D32:D47)</f>
        <v>0</v>
      </c>
      <c r="E48" s="538">
        <f>E8+E9+E10+E12+E13+E14+E15+E16+E17+E18+E19+E20+E21+E33+E34+E35+E36+E37+E38+E39+E40+E41+E42+E43</f>
        <v>3228300</v>
      </c>
      <c r="F48" s="534"/>
    </row>
    <row r="49" ht="20.25" thickTop="1"/>
  </sheetData>
  <sheetProtection/>
  <mergeCells count="10">
    <mergeCell ref="B5:C5"/>
    <mergeCell ref="A1:F1"/>
    <mergeCell ref="A2:F2"/>
    <mergeCell ref="A3:F3"/>
    <mergeCell ref="A4:F4"/>
    <mergeCell ref="B30:C30"/>
    <mergeCell ref="A26:F26"/>
    <mergeCell ref="A27:F27"/>
    <mergeCell ref="A28:F28"/>
    <mergeCell ref="A29:F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17" sqref="A1:F17"/>
    </sheetView>
  </sheetViews>
  <sheetFormatPr defaultColWidth="9.140625" defaultRowHeight="21.75"/>
  <cols>
    <col min="1" max="1" width="65.8515625" style="204" customWidth="1"/>
    <col min="2" max="2" width="14.8515625" style="204" customWidth="1"/>
    <col min="3" max="3" width="14.8515625" style="539" customWidth="1"/>
    <col min="4" max="5" width="14.8515625" style="204" customWidth="1"/>
    <col min="6" max="6" width="14.140625" style="204" customWidth="1"/>
    <col min="7" max="16384" width="9.140625" style="204" customWidth="1"/>
  </cols>
  <sheetData>
    <row r="1" spans="1:6" ht="19.5">
      <c r="A1" s="834" t="s">
        <v>216</v>
      </c>
      <c r="B1" s="834"/>
      <c r="C1" s="834"/>
      <c r="D1" s="834"/>
      <c r="E1" s="834"/>
      <c r="F1" s="834"/>
    </row>
    <row r="2" spans="1:6" ht="19.5">
      <c r="A2" s="834" t="s">
        <v>97</v>
      </c>
      <c r="B2" s="834"/>
      <c r="C2" s="834"/>
      <c r="D2" s="834"/>
      <c r="E2" s="834"/>
      <c r="F2" s="834"/>
    </row>
    <row r="3" spans="1:6" ht="19.5">
      <c r="A3" s="834" t="s">
        <v>264</v>
      </c>
      <c r="B3" s="834"/>
      <c r="C3" s="834"/>
      <c r="D3" s="834"/>
      <c r="E3" s="834"/>
      <c r="F3" s="834"/>
    </row>
    <row r="4" spans="1:6" ht="19.5">
      <c r="A4" s="835" t="s">
        <v>660</v>
      </c>
      <c r="B4" s="835"/>
      <c r="C4" s="835"/>
      <c r="D4" s="835"/>
      <c r="E4" s="835"/>
      <c r="F4" s="835"/>
    </row>
    <row r="5" spans="1:6" ht="19.5">
      <c r="A5" s="526" t="s">
        <v>98</v>
      </c>
      <c r="B5" s="832" t="s">
        <v>19</v>
      </c>
      <c r="C5" s="833"/>
      <c r="D5" s="526" t="s">
        <v>16</v>
      </c>
      <c r="E5" s="526" t="s">
        <v>20</v>
      </c>
      <c r="F5" s="526" t="s">
        <v>17</v>
      </c>
    </row>
    <row r="6" spans="1:6" ht="19.5">
      <c r="A6" s="527"/>
      <c r="B6" s="527" t="s">
        <v>15</v>
      </c>
      <c r="C6" s="528" t="s">
        <v>78</v>
      </c>
      <c r="D6" s="527"/>
      <c r="E6" s="527"/>
      <c r="F6" s="527"/>
    </row>
    <row r="7" spans="1:6" ht="19.5">
      <c r="A7" s="529" t="s">
        <v>54</v>
      </c>
      <c r="B7" s="530"/>
      <c r="C7" s="531"/>
      <c r="D7" s="530"/>
      <c r="E7" s="530"/>
      <c r="F7" s="530"/>
    </row>
    <row r="8" spans="1:6" ht="19.5">
      <c r="A8" s="532" t="s">
        <v>662</v>
      </c>
      <c r="B8" s="533">
        <v>700000</v>
      </c>
      <c r="C8" s="533">
        <v>0</v>
      </c>
      <c r="D8" s="533">
        <v>0</v>
      </c>
      <c r="E8" s="533">
        <f>B8-D8</f>
        <v>700000</v>
      </c>
      <c r="F8" s="534"/>
    </row>
    <row r="9" spans="1:6" ht="19.5">
      <c r="A9" s="535"/>
      <c r="B9" s="533"/>
      <c r="C9" s="533"/>
      <c r="D9" s="533"/>
      <c r="E9" s="533"/>
      <c r="F9" s="534"/>
    </row>
    <row r="10" spans="1:6" ht="19.5">
      <c r="A10" s="532"/>
      <c r="B10" s="533"/>
      <c r="C10" s="533"/>
      <c r="D10" s="533"/>
      <c r="E10" s="533"/>
      <c r="F10" s="534"/>
    </row>
    <row r="11" spans="1:6" ht="19.5">
      <c r="A11" s="532"/>
      <c r="B11" s="536"/>
      <c r="C11" s="533"/>
      <c r="D11" s="533"/>
      <c r="E11" s="533"/>
      <c r="F11" s="534"/>
    </row>
    <row r="12" spans="1:6" ht="19.5">
      <c r="A12" s="532"/>
      <c r="B12" s="533"/>
      <c r="C12" s="533"/>
      <c r="D12" s="533"/>
      <c r="E12" s="533"/>
      <c r="F12" s="534"/>
    </row>
    <row r="13" spans="1:6" ht="19.5">
      <c r="A13" s="532"/>
      <c r="B13" s="533"/>
      <c r="C13" s="533"/>
      <c r="D13" s="533"/>
      <c r="E13" s="533"/>
      <c r="F13" s="534"/>
    </row>
    <row r="14" spans="1:6" ht="19.5">
      <c r="A14" s="532"/>
      <c r="B14" s="537"/>
      <c r="C14" s="533"/>
      <c r="D14" s="533"/>
      <c r="E14" s="537"/>
      <c r="F14" s="534"/>
    </row>
    <row r="15" spans="1:6" ht="19.5">
      <c r="A15" s="532" t="s">
        <v>99</v>
      </c>
      <c r="B15" s="537"/>
      <c r="C15" s="537"/>
      <c r="D15" s="537"/>
      <c r="E15" s="537"/>
      <c r="F15" s="534"/>
    </row>
    <row r="16" spans="1:6" ht="20.25" thickBot="1">
      <c r="A16" s="532"/>
      <c r="B16" s="538">
        <f>SUM(B8:B15)</f>
        <v>700000</v>
      </c>
      <c r="C16" s="538">
        <f>SUM(C8:C15)</f>
        <v>0</v>
      </c>
      <c r="D16" s="538">
        <f>SUM(D8:D15)</f>
        <v>0</v>
      </c>
      <c r="E16" s="538">
        <f>SUM(E8:E15)</f>
        <v>700000</v>
      </c>
      <c r="F16" s="534"/>
    </row>
    <row r="17" ht="20.25" thickTop="1"/>
    <row r="19" spans="1:6" ht="19.5">
      <c r="A19" s="837"/>
      <c r="B19" s="837"/>
      <c r="C19" s="837"/>
      <c r="D19" s="837"/>
      <c r="E19" s="837"/>
      <c r="F19" s="837"/>
    </row>
    <row r="20" spans="1:3" ht="19.5">
      <c r="A20" s="540"/>
      <c r="B20" s="540"/>
      <c r="C20" s="540"/>
    </row>
    <row r="22" spans="1:6" ht="19.5">
      <c r="A22" s="836"/>
      <c r="B22" s="836"/>
      <c r="C22" s="836"/>
      <c r="D22" s="836"/>
      <c r="E22" s="836"/>
      <c r="F22" s="836"/>
    </row>
    <row r="23" spans="1:6" ht="19.5">
      <c r="A23" s="836"/>
      <c r="B23" s="836"/>
      <c r="C23" s="836"/>
      <c r="D23" s="836"/>
      <c r="E23" s="836"/>
      <c r="F23" s="836"/>
    </row>
  </sheetData>
  <sheetProtection/>
  <mergeCells count="8">
    <mergeCell ref="A22:F22"/>
    <mergeCell ref="A23:F23"/>
    <mergeCell ref="A1:F1"/>
    <mergeCell ref="A2:F2"/>
    <mergeCell ref="A3:F3"/>
    <mergeCell ref="A4:F4"/>
    <mergeCell ref="B5:C5"/>
    <mergeCell ref="A19:F19"/>
  </mergeCells>
  <printOptions/>
  <pageMargins left="1.220472440944882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6" sqref="A1:D16"/>
    </sheetView>
  </sheetViews>
  <sheetFormatPr defaultColWidth="9.140625" defaultRowHeight="21.75"/>
  <cols>
    <col min="1" max="1" width="7.7109375" style="0" customWidth="1"/>
    <col min="2" max="2" width="54.421875" style="0" customWidth="1"/>
    <col min="3" max="3" width="16.140625" style="0" customWidth="1"/>
    <col min="4" max="4" width="31.00390625" style="0" customWidth="1"/>
  </cols>
  <sheetData>
    <row r="1" spans="1:4" ht="23.25">
      <c r="A1" s="215"/>
      <c r="B1" s="215"/>
      <c r="C1" s="215"/>
      <c r="D1" s="205" t="s">
        <v>757</v>
      </c>
    </row>
    <row r="2" spans="1:4" ht="23.25">
      <c r="A2" s="819" t="s">
        <v>216</v>
      </c>
      <c r="B2" s="819"/>
      <c r="C2" s="819"/>
      <c r="D2" s="819"/>
    </row>
    <row r="3" spans="1:4" ht="23.25">
      <c r="A3" s="819" t="s">
        <v>535</v>
      </c>
      <c r="B3" s="819"/>
      <c r="C3" s="819"/>
      <c r="D3" s="819"/>
    </row>
    <row r="4" spans="1:4" ht="23.25">
      <c r="A4" s="819" t="s">
        <v>652</v>
      </c>
      <c r="B4" s="819"/>
      <c r="C4" s="819"/>
      <c r="D4" s="819"/>
    </row>
    <row r="5" spans="1:4" ht="23.25">
      <c r="A5" s="222"/>
      <c r="B5" s="500"/>
      <c r="C5" s="222"/>
      <c r="D5" s="222"/>
    </row>
    <row r="6" spans="1:4" ht="23.25">
      <c r="A6" s="180" t="s">
        <v>34</v>
      </c>
      <c r="B6" s="501" t="s">
        <v>35</v>
      </c>
      <c r="C6" s="180" t="s">
        <v>19</v>
      </c>
      <c r="D6" s="180" t="s">
        <v>17</v>
      </c>
    </row>
    <row r="7" spans="1:4" ht="23.25">
      <c r="A7" s="723"/>
      <c r="B7" s="725" t="s">
        <v>738</v>
      </c>
      <c r="C7" s="724"/>
      <c r="D7" s="723"/>
    </row>
    <row r="8" spans="1:4" s="716" customFormat="1" ht="21.75">
      <c r="A8" s="713">
        <v>1</v>
      </c>
      <c r="B8" s="714" t="s">
        <v>736</v>
      </c>
      <c r="C8" s="715">
        <v>10184</v>
      </c>
      <c r="D8" s="714"/>
    </row>
    <row r="9" spans="1:4" s="716" customFormat="1" ht="21.75">
      <c r="A9" s="717">
        <v>2</v>
      </c>
      <c r="B9" s="718" t="s">
        <v>737</v>
      </c>
      <c r="C9" s="719">
        <v>5216</v>
      </c>
      <c r="D9" s="718"/>
    </row>
    <row r="10" spans="1:4" s="716" customFormat="1" ht="21.75">
      <c r="A10" s="717"/>
      <c r="B10" s="718"/>
      <c r="C10" s="719"/>
      <c r="D10" s="720"/>
    </row>
    <row r="11" spans="1:4" s="716" customFormat="1" ht="21.75">
      <c r="A11" s="717"/>
      <c r="B11" s="718"/>
      <c r="C11" s="719"/>
      <c r="D11" s="718"/>
    </row>
    <row r="12" spans="1:4" s="716" customFormat="1" ht="21.75">
      <c r="A12" s="717"/>
      <c r="B12" s="718"/>
      <c r="C12" s="719"/>
      <c r="D12" s="718"/>
    </row>
    <row r="13" spans="1:4" s="716" customFormat="1" ht="21.75">
      <c r="A13" s="717"/>
      <c r="B13" s="721"/>
      <c r="C13" s="722"/>
      <c r="D13" s="718"/>
    </row>
    <row r="14" spans="1:4" s="716" customFormat="1" ht="21.75">
      <c r="A14" s="717"/>
      <c r="B14" s="721"/>
      <c r="C14" s="722"/>
      <c r="D14" s="718"/>
    </row>
    <row r="15" spans="1:4" ht="23.25">
      <c r="A15" s="510"/>
      <c r="B15" s="511" t="s">
        <v>0</v>
      </c>
      <c r="C15" s="512">
        <f>SUM(C8:C14)</f>
        <v>15400</v>
      </c>
      <c r="D15" s="513"/>
    </row>
    <row r="16" spans="1:4" ht="21.75">
      <c r="A16" s="215"/>
      <c r="B16" s="215"/>
      <c r="C16" s="215"/>
      <c r="D16" s="215"/>
    </row>
  </sheetData>
  <sheetProtection/>
  <mergeCells count="3">
    <mergeCell ref="A2:D2"/>
    <mergeCell ref="A3:D3"/>
    <mergeCell ref="A4:D4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6">
      <selection activeCell="I29" sqref="A1:I29"/>
    </sheetView>
  </sheetViews>
  <sheetFormatPr defaultColWidth="9.140625" defaultRowHeight="21.75"/>
  <cols>
    <col min="1" max="1" width="6.421875" style="216" customWidth="1"/>
    <col min="2" max="4" width="9.140625" style="216" customWidth="1"/>
    <col min="5" max="5" width="11.421875" style="216" customWidth="1"/>
    <col min="6" max="6" width="15.28125" style="216" customWidth="1"/>
    <col min="7" max="7" width="15.8515625" style="216" customWidth="1"/>
    <col min="8" max="8" width="2.421875" style="216" customWidth="1"/>
    <col min="9" max="9" width="15.421875" style="218" customWidth="1"/>
    <col min="10" max="10" width="10.421875" style="216" customWidth="1"/>
    <col min="11" max="11" width="13.8515625" style="216" bestFit="1" customWidth="1"/>
    <col min="12" max="13" width="9.140625" style="216" customWidth="1"/>
    <col min="14" max="14" width="10.28125" style="216" bestFit="1" customWidth="1"/>
    <col min="15" max="16384" width="9.140625" style="216" customWidth="1"/>
  </cols>
  <sheetData>
    <row r="1" ht="21">
      <c r="I1" s="541" t="s">
        <v>758</v>
      </c>
    </row>
    <row r="2" spans="1:9" ht="21">
      <c r="A2" s="819" t="s">
        <v>216</v>
      </c>
      <c r="B2" s="819"/>
      <c r="C2" s="819"/>
      <c r="D2" s="819"/>
      <c r="E2" s="819"/>
      <c r="F2" s="819"/>
      <c r="G2" s="819"/>
      <c r="H2" s="819"/>
      <c r="I2" s="819"/>
    </row>
    <row r="3" spans="1:9" ht="21">
      <c r="A3" s="819" t="s">
        <v>11</v>
      </c>
      <c r="B3" s="819"/>
      <c r="C3" s="819"/>
      <c r="D3" s="819"/>
      <c r="E3" s="819"/>
      <c r="F3" s="819"/>
      <c r="G3" s="819"/>
      <c r="H3" s="819"/>
      <c r="I3" s="819"/>
    </row>
    <row r="4" spans="1:9" ht="21">
      <c r="A4" s="819" t="s">
        <v>551</v>
      </c>
      <c r="B4" s="819"/>
      <c r="C4" s="819"/>
      <c r="D4" s="819"/>
      <c r="E4" s="819"/>
      <c r="F4" s="819"/>
      <c r="G4" s="819"/>
      <c r="H4" s="819"/>
      <c r="I4" s="819"/>
    </row>
    <row r="5" ht="21">
      <c r="I5" s="497"/>
    </row>
    <row r="6" spans="1:9" ht="25.5" customHeight="1">
      <c r="A6" s="216" t="s">
        <v>690</v>
      </c>
      <c r="I6" s="218">
        <v>792653.98</v>
      </c>
    </row>
    <row r="7" spans="2:6" ht="25.5" customHeight="1">
      <c r="B7" s="216" t="s">
        <v>28</v>
      </c>
      <c r="F7" s="218">
        <v>4968440.99</v>
      </c>
    </row>
    <row r="8" spans="2:6" ht="25.5" customHeight="1">
      <c r="B8" s="542" t="s">
        <v>552</v>
      </c>
      <c r="F8" s="498">
        <v>-1242110.25</v>
      </c>
    </row>
    <row r="9" spans="1:7" ht="25.5" customHeight="1">
      <c r="A9" s="543" t="s">
        <v>12</v>
      </c>
      <c r="B9" s="216" t="s">
        <v>29</v>
      </c>
      <c r="G9" s="499">
        <f>SUM(F7:F8)</f>
        <v>3726330.74</v>
      </c>
    </row>
    <row r="10" spans="1:7" ht="25.5" customHeight="1">
      <c r="A10" s="543"/>
      <c r="B10" s="216" t="s">
        <v>688</v>
      </c>
      <c r="G10" s="544">
        <v>22749</v>
      </c>
    </row>
    <row r="11" spans="1:9" ht="25.5" customHeight="1">
      <c r="A11" s="543" t="s">
        <v>21</v>
      </c>
      <c r="B11" s="216" t="s">
        <v>352</v>
      </c>
      <c r="G11" s="498">
        <v>-343000</v>
      </c>
      <c r="H11" s="545"/>
      <c r="I11" s="686"/>
    </row>
    <row r="12" spans="1:9" ht="25.5" customHeight="1">
      <c r="A12" s="543"/>
      <c r="B12" s="216" t="s">
        <v>689</v>
      </c>
      <c r="G12" s="687">
        <v>-56.07</v>
      </c>
      <c r="H12" s="545"/>
      <c r="I12" s="545">
        <f>G9+G10+G11+G12</f>
        <v>3406023.6700000004</v>
      </c>
    </row>
    <row r="13" spans="1:14" ht="25.5" customHeight="1" thickBot="1">
      <c r="A13" s="216" t="s">
        <v>642</v>
      </c>
      <c r="I13" s="546">
        <f>I6+I12</f>
        <v>4198677.65</v>
      </c>
      <c r="N13" s="499"/>
    </row>
    <row r="14" spans="9:14" ht="21.75" thickTop="1">
      <c r="I14" s="498"/>
      <c r="N14" s="499"/>
    </row>
    <row r="15" spans="9:14" ht="21">
      <c r="I15" s="498"/>
      <c r="N15" s="499"/>
    </row>
    <row r="17" ht="21">
      <c r="A17" s="216" t="s">
        <v>691</v>
      </c>
    </row>
    <row r="18" spans="2:9" ht="21">
      <c r="B18" s="216" t="s">
        <v>350</v>
      </c>
      <c r="I18" s="218">
        <v>6050</v>
      </c>
    </row>
    <row r="19" spans="2:9" ht="21">
      <c r="B19" s="216" t="s">
        <v>91</v>
      </c>
      <c r="I19" s="218">
        <v>1417.77</v>
      </c>
    </row>
    <row r="20" spans="2:9" ht="21">
      <c r="B20" s="216" t="s">
        <v>351</v>
      </c>
      <c r="I20" s="218">
        <v>200</v>
      </c>
    </row>
    <row r="21" spans="2:9" ht="21">
      <c r="B21" s="216" t="s">
        <v>693</v>
      </c>
      <c r="I21" s="218">
        <v>500</v>
      </c>
    </row>
    <row r="22" spans="2:9" ht="21">
      <c r="B22" s="216" t="s">
        <v>694</v>
      </c>
      <c r="I22" s="218">
        <v>415</v>
      </c>
    </row>
    <row r="23" spans="2:9" ht="21">
      <c r="B23" s="216" t="s">
        <v>695</v>
      </c>
      <c r="I23" s="498">
        <f>I13-I18-I19-I20-I21-I22</f>
        <v>4190094.8800000004</v>
      </c>
    </row>
    <row r="24" spans="9:11" ht="21">
      <c r="I24" s="547">
        <f>SUM(I13)</f>
        <v>4198677.65</v>
      </c>
      <c r="K24" s="499"/>
    </row>
    <row r="25" ht="21">
      <c r="E25" s="216" t="s">
        <v>130</v>
      </c>
    </row>
    <row r="27" spans="1:9" s="215" customFormat="1" ht="18.75">
      <c r="A27" s="215" t="s">
        <v>739</v>
      </c>
      <c r="D27" s="215" t="s">
        <v>739</v>
      </c>
      <c r="G27" s="215" t="s">
        <v>739</v>
      </c>
      <c r="I27" s="219"/>
    </row>
    <row r="28" spans="1:9" s="215" customFormat="1" ht="18.75">
      <c r="A28" s="215" t="s">
        <v>751</v>
      </c>
      <c r="D28" s="215" t="s">
        <v>753</v>
      </c>
      <c r="G28" s="215" t="s">
        <v>755</v>
      </c>
      <c r="I28" s="219"/>
    </row>
    <row r="29" spans="1:9" s="215" customFormat="1" ht="18.75">
      <c r="A29" s="215" t="s">
        <v>752</v>
      </c>
      <c r="D29" s="215" t="s">
        <v>754</v>
      </c>
      <c r="G29" s="215" t="s">
        <v>756</v>
      </c>
      <c r="I29" s="219"/>
    </row>
  </sheetData>
  <sheetProtection/>
  <mergeCells count="3">
    <mergeCell ref="A2:I2"/>
    <mergeCell ref="A3:I3"/>
    <mergeCell ref="A4:I4"/>
  </mergeCells>
  <printOptions/>
  <pageMargins left="1.0236220472440944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3" sqref="A1:E13"/>
    </sheetView>
  </sheetViews>
  <sheetFormatPr defaultColWidth="9.140625" defaultRowHeight="21.75"/>
  <cols>
    <col min="1" max="1" width="7.140625" style="222" customWidth="1"/>
    <col min="2" max="2" width="74.140625" style="548" customWidth="1"/>
    <col min="3" max="3" width="16.7109375" style="216" customWidth="1"/>
    <col min="4" max="4" width="42.140625" style="216" customWidth="1"/>
    <col min="5" max="5" width="11.421875" style="216" customWidth="1"/>
    <col min="6" max="16384" width="9.140625" style="216" customWidth="1"/>
  </cols>
  <sheetData>
    <row r="1" spans="1:5" ht="21">
      <c r="A1" s="838" t="s">
        <v>216</v>
      </c>
      <c r="B1" s="838"/>
      <c r="C1" s="838"/>
      <c r="D1" s="838"/>
      <c r="E1" s="726" t="s">
        <v>759</v>
      </c>
    </row>
    <row r="2" spans="1:4" ht="21">
      <c r="A2" s="838" t="s">
        <v>100</v>
      </c>
      <c r="B2" s="838"/>
      <c r="C2" s="838"/>
      <c r="D2" s="838"/>
    </row>
    <row r="3" spans="1:4" ht="21">
      <c r="A3" s="838" t="s">
        <v>652</v>
      </c>
      <c r="B3" s="838"/>
      <c r="C3" s="838"/>
      <c r="D3" s="838"/>
    </row>
    <row r="4" spans="2:4" ht="21">
      <c r="B4" s="500"/>
      <c r="C4" s="222"/>
      <c r="D4" s="222"/>
    </row>
    <row r="5" spans="1:4" s="222" customFormat="1" ht="21">
      <c r="A5" s="180" t="s">
        <v>34</v>
      </c>
      <c r="B5" s="501" t="s">
        <v>35</v>
      </c>
      <c r="C5" s="180" t="s">
        <v>19</v>
      </c>
      <c r="D5" s="180" t="s">
        <v>17</v>
      </c>
    </row>
    <row r="6" spans="1:4" ht="21">
      <c r="A6" s="505">
        <v>1</v>
      </c>
      <c r="B6" s="503" t="s">
        <v>346</v>
      </c>
      <c r="C6" s="507">
        <v>22749</v>
      </c>
      <c r="D6" s="508"/>
    </row>
    <row r="7" spans="1:4" ht="21">
      <c r="A7" s="505"/>
      <c r="B7" s="506"/>
      <c r="C7" s="507"/>
      <c r="D7" s="509"/>
    </row>
    <row r="8" spans="1:4" ht="21">
      <c r="A8" s="505"/>
      <c r="B8" s="688"/>
      <c r="C8" s="507"/>
      <c r="D8" s="508"/>
    </row>
    <row r="9" spans="1:4" ht="21">
      <c r="A9" s="505"/>
      <c r="B9" s="506"/>
      <c r="C9" s="507"/>
      <c r="D9" s="508"/>
    </row>
    <row r="10" spans="1:4" ht="21">
      <c r="A10" s="505"/>
      <c r="B10" s="506"/>
      <c r="C10" s="507"/>
      <c r="D10" s="508"/>
    </row>
    <row r="11" spans="1:4" ht="21">
      <c r="A11" s="505"/>
      <c r="B11" s="506"/>
      <c r="C11" s="507"/>
      <c r="D11" s="508"/>
    </row>
    <row r="12" spans="1:4" ht="21">
      <c r="A12" s="510"/>
      <c r="B12" s="511" t="s">
        <v>0</v>
      </c>
      <c r="C12" s="512">
        <f>SUM(C6:C11)</f>
        <v>22749</v>
      </c>
      <c r="D12" s="513"/>
    </row>
  </sheetData>
  <sheetProtection/>
  <mergeCells count="3">
    <mergeCell ref="A1:D1"/>
    <mergeCell ref="A2:D2"/>
    <mergeCell ref="A3:D3"/>
  </mergeCells>
  <printOptions/>
  <pageMargins left="0.53" right="0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26" sqref="A1:F26"/>
    </sheetView>
  </sheetViews>
  <sheetFormatPr defaultColWidth="9.140625" defaultRowHeight="21.75"/>
  <cols>
    <col min="1" max="1" width="3.421875" style="31" customWidth="1"/>
    <col min="2" max="2" width="50.57421875" style="31" customWidth="1"/>
    <col min="3" max="3" width="13.00390625" style="32" customWidth="1"/>
    <col min="4" max="4" width="3.421875" style="32" customWidth="1"/>
    <col min="5" max="5" width="13.28125" style="32" customWidth="1"/>
    <col min="6" max="6" width="12.140625" style="32" customWidth="1"/>
    <col min="7" max="7" width="17.28125" style="31" customWidth="1"/>
    <col min="8" max="16384" width="9.140625" style="31" customWidth="1"/>
  </cols>
  <sheetData>
    <row r="1" spans="1:6" ht="22.5">
      <c r="A1" s="216"/>
      <c r="B1" s="216"/>
      <c r="C1" s="549"/>
      <c r="D1" s="549"/>
      <c r="E1" s="550" t="s">
        <v>760</v>
      </c>
      <c r="F1" s="549"/>
    </row>
    <row r="2" spans="1:6" ht="22.5">
      <c r="A2" s="819" t="s">
        <v>216</v>
      </c>
      <c r="B2" s="819"/>
      <c r="C2" s="819"/>
      <c r="D2" s="819"/>
      <c r="E2" s="819"/>
      <c r="F2" s="819"/>
    </row>
    <row r="3" spans="1:6" ht="22.5">
      <c r="A3" s="819" t="s">
        <v>692</v>
      </c>
      <c r="B3" s="819"/>
      <c r="C3" s="819"/>
      <c r="D3" s="819"/>
      <c r="E3" s="819"/>
      <c r="F3" s="819"/>
    </row>
    <row r="4" spans="1:6" ht="22.5">
      <c r="A4" s="216"/>
      <c r="B4" s="216"/>
      <c r="C4" s="549"/>
      <c r="D4" s="549"/>
      <c r="E4" s="549"/>
      <c r="F4" s="549"/>
    </row>
    <row r="5" spans="1:6" s="33" customFormat="1" ht="22.5" thickBot="1">
      <c r="A5" s="204" t="s">
        <v>696</v>
      </c>
      <c r="B5" s="204"/>
      <c r="C5" s="207"/>
      <c r="D5" s="207"/>
      <c r="E5" s="551">
        <f>SUM(งบเงินสะสม7!I13)</f>
        <v>4198677.65</v>
      </c>
      <c r="F5" s="207"/>
    </row>
    <row r="6" spans="1:6" s="33" customFormat="1" ht="22.5" thickTop="1">
      <c r="A6" s="552" t="s">
        <v>101</v>
      </c>
      <c r="B6" s="553"/>
      <c r="C6" s="207"/>
      <c r="D6" s="207"/>
      <c r="E6" s="207"/>
      <c r="F6" s="207"/>
    </row>
    <row r="7" spans="1:6" s="33" customFormat="1" ht="21.75">
      <c r="A7" s="204"/>
      <c r="B7" s="204" t="s">
        <v>697</v>
      </c>
      <c r="C7" s="207"/>
      <c r="D7" s="207"/>
      <c r="E7" s="207">
        <f>'งบแสดงฐานะอบต.'!H23</f>
        <v>4198677.65</v>
      </c>
      <c r="F7" s="207"/>
    </row>
    <row r="8" spans="1:6" s="33" customFormat="1" ht="21.75">
      <c r="A8" s="204"/>
      <c r="B8" s="204" t="s">
        <v>102</v>
      </c>
      <c r="C8" s="207"/>
      <c r="D8" s="207"/>
      <c r="E8" s="207"/>
      <c r="F8" s="207"/>
    </row>
    <row r="9" spans="1:6" s="33" customFormat="1" ht="21.75">
      <c r="A9" s="204"/>
      <c r="B9" s="552" t="s">
        <v>553</v>
      </c>
      <c r="C9" s="207"/>
      <c r="D9" s="207"/>
      <c r="E9" s="207">
        <v>6050</v>
      </c>
      <c r="F9" s="207"/>
    </row>
    <row r="10" spans="1:6" s="33" customFormat="1" ht="21.75">
      <c r="A10" s="204"/>
      <c r="B10" s="204" t="s">
        <v>699</v>
      </c>
      <c r="C10" s="207"/>
      <c r="D10" s="207"/>
      <c r="E10" s="207">
        <v>1417.77</v>
      </c>
      <c r="F10" s="207"/>
    </row>
    <row r="11" spans="1:6" s="33" customFormat="1" ht="21.75">
      <c r="A11" s="204"/>
      <c r="B11" s="204" t="s">
        <v>353</v>
      </c>
      <c r="C11" s="207"/>
      <c r="D11" s="207"/>
      <c r="E11" s="207">
        <v>200</v>
      </c>
      <c r="F11" s="207"/>
    </row>
    <row r="12" spans="1:6" s="33" customFormat="1" ht="21.75">
      <c r="A12" s="204"/>
      <c r="B12" s="204" t="s">
        <v>354</v>
      </c>
      <c r="C12" s="207"/>
      <c r="D12" s="207"/>
      <c r="E12" s="207">
        <v>500</v>
      </c>
      <c r="F12" s="207"/>
    </row>
    <row r="13" spans="1:6" s="33" customFormat="1" ht="21.75">
      <c r="A13" s="204"/>
      <c r="B13" s="204" t="s">
        <v>698</v>
      </c>
      <c r="C13" s="207"/>
      <c r="D13" s="207"/>
      <c r="E13" s="207">
        <v>415</v>
      </c>
      <c r="F13" s="207"/>
    </row>
    <row r="14" spans="1:6" s="33" customFormat="1" ht="22.5" thickBot="1">
      <c r="A14" s="837" t="s">
        <v>103</v>
      </c>
      <c r="B14" s="837"/>
      <c r="C14" s="207"/>
      <c r="D14" s="207"/>
      <c r="E14" s="209">
        <f>E7-E10-E11-E9-E12-E13</f>
        <v>4190094.880000001</v>
      </c>
      <c r="F14" s="207"/>
    </row>
    <row r="15" spans="1:6" s="33" customFormat="1" ht="22.5" thickTop="1">
      <c r="A15" s="539"/>
      <c r="B15" s="204"/>
      <c r="C15" s="207"/>
      <c r="D15" s="207"/>
      <c r="E15" s="207"/>
      <c r="F15" s="207"/>
    </row>
    <row r="16" spans="1:6" s="33" customFormat="1" ht="21.75">
      <c r="A16" s="539"/>
      <c r="B16" s="204"/>
      <c r="C16" s="207"/>
      <c r="D16" s="207"/>
      <c r="E16" s="207"/>
      <c r="F16" s="207"/>
    </row>
    <row r="17" spans="1:6" s="33" customFormat="1" ht="21.75">
      <c r="A17" s="539"/>
      <c r="B17" s="204"/>
      <c r="C17" s="207"/>
      <c r="D17" s="207"/>
      <c r="E17" s="207"/>
      <c r="F17" s="207"/>
    </row>
    <row r="18" spans="1:6" s="33" customFormat="1" ht="21.75">
      <c r="A18" s="554" t="s">
        <v>106</v>
      </c>
      <c r="B18" s="204"/>
      <c r="C18" s="207"/>
      <c r="D18" s="207"/>
      <c r="E18" s="207"/>
      <c r="F18" s="207"/>
    </row>
    <row r="19" spans="1:6" s="33" customFormat="1" ht="21.75">
      <c r="A19" s="539"/>
      <c r="B19" s="204" t="s">
        <v>700</v>
      </c>
      <c r="C19" s="207"/>
      <c r="D19" s="207"/>
      <c r="E19" s="207">
        <f>'งบแสดงฐานะอบต.'!D10</f>
        <v>10787805.25</v>
      </c>
      <c r="F19" s="207"/>
    </row>
    <row r="20" spans="1:6" s="33" customFormat="1" ht="21.75">
      <c r="A20" s="539"/>
      <c r="B20" s="204" t="s">
        <v>102</v>
      </c>
      <c r="C20" s="207"/>
      <c r="D20" s="207"/>
      <c r="E20" s="207"/>
      <c r="F20" s="207"/>
    </row>
    <row r="21" spans="1:6" s="33" customFormat="1" ht="21.75">
      <c r="A21" s="539"/>
      <c r="B21" s="552" t="s">
        <v>554</v>
      </c>
      <c r="C21" s="207">
        <f>'งบแสดงฐานะอบต.'!H6</f>
        <v>0</v>
      </c>
      <c r="D21" s="207"/>
      <c r="E21" s="207"/>
      <c r="F21" s="207"/>
    </row>
    <row r="22" spans="1:6" s="33" customFormat="1" ht="21.75">
      <c r="A22" s="539"/>
      <c r="B22" s="204" t="s">
        <v>701</v>
      </c>
      <c r="C22" s="207">
        <f>SUM('งบแสดงฐานะอบต.'!H7)</f>
        <v>3228300</v>
      </c>
      <c r="D22" s="207"/>
      <c r="E22" s="207"/>
      <c r="F22" s="207"/>
    </row>
    <row r="23" spans="1:6" s="33" customFormat="1" ht="21.75">
      <c r="A23" s="539"/>
      <c r="B23" s="204" t="s">
        <v>104</v>
      </c>
      <c r="C23" s="207">
        <f>'งบแสดงฐานะอบต.'!G9+'งบแสดงฐานะอบต.'!G11</f>
        <v>505803.85</v>
      </c>
      <c r="D23" s="207"/>
      <c r="E23" s="207"/>
      <c r="F23" s="207"/>
    </row>
    <row r="24" spans="1:6" s="33" customFormat="1" ht="21.75">
      <c r="A24" s="539"/>
      <c r="B24" s="204" t="s">
        <v>702</v>
      </c>
      <c r="C24" s="207">
        <f>'งบแสดงฐานะอบต.'!G10-ลูกหนี้เศรษฐกิจ!C14</f>
        <v>166319.66999999998</v>
      </c>
      <c r="D24" s="207"/>
      <c r="E24" s="207"/>
      <c r="F24" s="207"/>
    </row>
    <row r="25" spans="1:6" s="33" customFormat="1" ht="21.75">
      <c r="A25" s="539"/>
      <c r="B25" s="204" t="s">
        <v>105</v>
      </c>
      <c r="C25" s="213">
        <f>'งบแสดงฐานะอบต.'!H13</f>
        <v>2697286.85</v>
      </c>
      <c r="D25" s="207"/>
      <c r="E25" s="207">
        <f>C21+C22+C23+C24+C25</f>
        <v>6597710.37</v>
      </c>
      <c r="F25" s="207"/>
    </row>
    <row r="26" spans="1:7" s="33" customFormat="1" ht="22.5" customHeight="1" thickBot="1">
      <c r="A26" s="555"/>
      <c r="B26" s="555" t="s">
        <v>103</v>
      </c>
      <c r="C26" s="207"/>
      <c r="D26" s="207"/>
      <c r="E26" s="209">
        <f>E19-E25</f>
        <v>4190094.88</v>
      </c>
      <c r="F26" s="556"/>
      <c r="G26" s="35">
        <f>E26-E14</f>
        <v>0</v>
      </c>
    </row>
    <row r="27" spans="1:6" s="33" customFormat="1" ht="22.5" thickTop="1">
      <c r="A27" s="204"/>
      <c r="B27" s="204"/>
      <c r="C27" s="207"/>
      <c r="D27" s="207"/>
      <c r="E27" s="207"/>
      <c r="F27" s="207"/>
    </row>
    <row r="28" spans="3:6" s="33" customFormat="1" ht="21.75">
      <c r="C28" s="34"/>
      <c r="D28" s="34"/>
      <c r="E28" s="34"/>
      <c r="F28" s="34"/>
    </row>
    <row r="29" spans="3:6" s="33" customFormat="1" ht="21.75">
      <c r="C29" s="34"/>
      <c r="D29" s="34"/>
      <c r="E29" s="34"/>
      <c r="F29" s="34"/>
    </row>
    <row r="30" spans="3:6" s="33" customFormat="1" ht="21.75">
      <c r="C30" s="34"/>
      <c r="D30" s="34"/>
      <c r="E30" s="34"/>
      <c r="F30" s="34"/>
    </row>
    <row r="31" spans="3:6" s="33" customFormat="1" ht="21.75">
      <c r="C31" s="34"/>
      <c r="D31" s="34"/>
      <c r="E31" s="34"/>
      <c r="F31" s="34"/>
    </row>
    <row r="32" spans="3:6" s="33" customFormat="1" ht="21.75">
      <c r="C32" s="34"/>
      <c r="D32" s="34"/>
      <c r="E32" s="34"/>
      <c r="F32" s="34"/>
    </row>
    <row r="33" spans="3:6" s="33" customFormat="1" ht="21.75">
      <c r="C33" s="34"/>
      <c r="D33" s="34"/>
      <c r="E33" s="34"/>
      <c r="F33" s="34"/>
    </row>
  </sheetData>
  <sheetProtection/>
  <mergeCells count="3">
    <mergeCell ref="A2:F2"/>
    <mergeCell ref="A3:F3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B1">
      <selection activeCell="I13" sqref="A1:I13"/>
    </sheetView>
  </sheetViews>
  <sheetFormatPr defaultColWidth="9.140625" defaultRowHeight="21.75"/>
  <cols>
    <col min="1" max="1" width="14.57421875" style="771" customWidth="1"/>
    <col min="2" max="2" width="33.7109375" style="0" customWidth="1"/>
    <col min="3" max="3" width="13.28125" style="786" customWidth="1"/>
    <col min="4" max="4" width="13.00390625" style="772" customWidth="1"/>
    <col min="5" max="5" width="11.140625" style="0" customWidth="1"/>
    <col min="6" max="6" width="12.7109375" style="786" customWidth="1"/>
    <col min="7" max="7" width="14.00390625" style="0" customWidth="1"/>
    <col min="8" max="8" width="16.00390625" style="0" customWidth="1"/>
    <col min="9" max="9" width="17.421875" style="0" customWidth="1"/>
  </cols>
  <sheetData>
    <row r="1" ht="21.75">
      <c r="H1" s="726" t="s">
        <v>778</v>
      </c>
    </row>
    <row r="2" spans="1:9" s="215" customFormat="1" ht="18.75">
      <c r="A2" s="841" t="s">
        <v>216</v>
      </c>
      <c r="B2" s="841"/>
      <c r="C2" s="841"/>
      <c r="D2" s="841"/>
      <c r="E2" s="841"/>
      <c r="F2" s="841"/>
      <c r="G2" s="841"/>
      <c r="H2" s="841"/>
      <c r="I2" s="841"/>
    </row>
    <row r="3" spans="1:9" s="215" customFormat="1" ht="18.75">
      <c r="A3" s="841" t="s">
        <v>767</v>
      </c>
      <c r="B3" s="841"/>
      <c r="C3" s="841"/>
      <c r="D3" s="841"/>
      <c r="E3" s="841"/>
      <c r="F3" s="841"/>
      <c r="G3" s="841"/>
      <c r="H3" s="841"/>
      <c r="I3" s="841"/>
    </row>
    <row r="4" spans="1:9" s="215" customFormat="1" ht="18.75">
      <c r="A4" s="842" t="s">
        <v>768</v>
      </c>
      <c r="B4" s="842"/>
      <c r="C4" s="842"/>
      <c r="D4" s="842"/>
      <c r="E4" s="842"/>
      <c r="F4" s="842"/>
      <c r="G4" s="842"/>
      <c r="H4" s="842"/>
      <c r="I4" s="842"/>
    </row>
    <row r="5" spans="1:9" s="726" customFormat="1" ht="18.75">
      <c r="A5" s="768" t="s">
        <v>357</v>
      </c>
      <c r="B5" s="768" t="s">
        <v>98</v>
      </c>
      <c r="C5" s="839" t="s">
        <v>769</v>
      </c>
      <c r="D5" s="840"/>
      <c r="E5" s="768" t="s">
        <v>15</v>
      </c>
      <c r="F5" s="784" t="s">
        <v>16</v>
      </c>
      <c r="G5" s="768" t="s">
        <v>772</v>
      </c>
      <c r="H5" s="768" t="s">
        <v>774</v>
      </c>
      <c r="I5" s="768" t="s">
        <v>17</v>
      </c>
    </row>
    <row r="6" spans="1:9" s="726" customFormat="1" ht="18.75">
      <c r="A6" s="769" t="s">
        <v>775</v>
      </c>
      <c r="B6" s="770"/>
      <c r="C6" s="788" t="s">
        <v>770</v>
      </c>
      <c r="D6" s="773" t="s">
        <v>771</v>
      </c>
      <c r="E6" s="770"/>
      <c r="F6" s="785"/>
      <c r="G6" s="769" t="s">
        <v>773</v>
      </c>
      <c r="H6" s="770"/>
      <c r="I6" s="770"/>
    </row>
    <row r="7" spans="1:9" s="215" customFormat="1" ht="18.75">
      <c r="A7" s="774">
        <v>239884</v>
      </c>
      <c r="B7" s="714" t="s">
        <v>776</v>
      </c>
      <c r="C7" s="775">
        <v>68000</v>
      </c>
      <c r="D7" s="775"/>
      <c r="E7" s="714"/>
      <c r="F7" s="775">
        <v>68000</v>
      </c>
      <c r="G7" s="714"/>
      <c r="H7" s="714"/>
      <c r="I7" s="714"/>
    </row>
    <row r="8" spans="1:9" s="215" customFormat="1" ht="18.75">
      <c r="A8" s="776">
        <v>239618</v>
      </c>
      <c r="B8" s="718" t="s">
        <v>777</v>
      </c>
      <c r="C8" s="777">
        <v>275000</v>
      </c>
      <c r="D8" s="777"/>
      <c r="E8" s="718"/>
      <c r="F8" s="777">
        <v>275000</v>
      </c>
      <c r="G8" s="718"/>
      <c r="H8" s="718"/>
      <c r="I8" s="718"/>
    </row>
    <row r="9" spans="1:9" s="215" customFormat="1" ht="18.75">
      <c r="A9" s="717"/>
      <c r="B9" s="718"/>
      <c r="C9" s="777"/>
      <c r="D9" s="777"/>
      <c r="E9" s="718"/>
      <c r="F9" s="777"/>
      <c r="G9" s="718"/>
      <c r="H9" s="718"/>
      <c r="I9" s="718"/>
    </row>
    <row r="10" spans="1:9" s="215" customFormat="1" ht="18.75">
      <c r="A10" s="717"/>
      <c r="B10" s="718"/>
      <c r="C10" s="777"/>
      <c r="D10" s="777"/>
      <c r="E10" s="718"/>
      <c r="F10" s="777"/>
      <c r="G10" s="718"/>
      <c r="H10" s="718"/>
      <c r="I10" s="718"/>
    </row>
    <row r="11" spans="1:9" s="215" customFormat="1" ht="18.75">
      <c r="A11" s="717"/>
      <c r="B11" s="780"/>
      <c r="C11" s="781"/>
      <c r="D11" s="781"/>
      <c r="E11" s="780"/>
      <c r="F11" s="781"/>
      <c r="G11" s="780"/>
      <c r="H11" s="780"/>
      <c r="I11" s="718"/>
    </row>
    <row r="12" spans="1:9" s="215" customFormat="1" ht="19.5" thickBot="1">
      <c r="A12" s="778"/>
      <c r="B12" s="782" t="s">
        <v>0</v>
      </c>
      <c r="C12" s="787">
        <f>SUM(C7:C11)</f>
        <v>343000</v>
      </c>
      <c r="D12" s="787"/>
      <c r="E12" s="782"/>
      <c r="F12" s="787">
        <f>SUM(F7:F11)</f>
        <v>343000</v>
      </c>
      <c r="G12" s="783"/>
      <c r="H12" s="783"/>
      <c r="I12" s="779"/>
    </row>
    <row r="13" spans="1:6" s="215" customFormat="1" ht="19.5" thickTop="1">
      <c r="A13" s="223"/>
      <c r="C13" s="219"/>
      <c r="D13" s="219"/>
      <c r="F13" s="219"/>
    </row>
  </sheetData>
  <sheetProtection/>
  <mergeCells count="4">
    <mergeCell ref="C5:D5"/>
    <mergeCell ref="A2:I2"/>
    <mergeCell ref="A3:I3"/>
    <mergeCell ref="A4:I4"/>
  </mergeCells>
  <printOptions/>
  <pageMargins left="0.9448818897637796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6"/>
  <sheetViews>
    <sheetView zoomScale="120" zoomScaleNormal="120" zoomScalePageLayoutView="0" workbookViewId="0" topLeftCell="A1">
      <selection activeCell="B9" sqref="B9"/>
    </sheetView>
  </sheetViews>
  <sheetFormatPr defaultColWidth="9.140625" defaultRowHeight="21.75"/>
  <cols>
    <col min="1" max="1" width="21.57421875" style="43" customWidth="1"/>
    <col min="2" max="3" width="12.140625" style="43" customWidth="1"/>
    <col min="4" max="4" width="10.140625" style="43" customWidth="1"/>
    <col min="5" max="6" width="9.421875" style="43" customWidth="1"/>
    <col min="7" max="7" width="9.57421875" style="43" customWidth="1"/>
    <col min="8" max="8" width="9.00390625" style="43" customWidth="1"/>
    <col min="9" max="9" width="10.57421875" style="41" customWidth="1"/>
    <col min="10" max="10" width="10.57421875" style="43" customWidth="1"/>
    <col min="11" max="11" width="9.28125" style="43" customWidth="1"/>
    <col min="12" max="12" width="9.7109375" style="43" customWidth="1"/>
    <col min="13" max="13" width="10.57421875" style="43" customWidth="1"/>
    <col min="14" max="14" width="11.140625" style="44" customWidth="1"/>
    <col min="15" max="15" width="12.421875" style="43" customWidth="1"/>
    <col min="16" max="16" width="13.140625" style="42" customWidth="1"/>
    <col min="17" max="16384" width="9.140625" style="43" customWidth="1"/>
  </cols>
  <sheetData>
    <row r="1" spans="1:16" s="36" customFormat="1" ht="17.25" customHeight="1">
      <c r="A1" s="847" t="s">
        <v>216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557"/>
      <c r="P1" s="37"/>
    </row>
    <row r="2" spans="1:16" s="36" customFormat="1" ht="17.25" customHeight="1">
      <c r="A2" s="847" t="s">
        <v>199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557"/>
      <c r="P2" s="37"/>
    </row>
    <row r="3" spans="1:16" s="36" customFormat="1" ht="16.5" customHeight="1">
      <c r="A3" s="848" t="s">
        <v>703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557"/>
      <c r="P3" s="37"/>
    </row>
    <row r="4" spans="1:16" s="38" customFormat="1" ht="15" customHeight="1">
      <c r="A4" s="843" t="s">
        <v>35</v>
      </c>
      <c r="B4" s="845" t="s">
        <v>22</v>
      </c>
      <c r="C4" s="845" t="s">
        <v>0</v>
      </c>
      <c r="D4" s="558" t="s">
        <v>107</v>
      </c>
      <c r="E4" s="558" t="s">
        <v>108</v>
      </c>
      <c r="F4" s="558" t="s">
        <v>36</v>
      </c>
      <c r="G4" s="558" t="s">
        <v>37</v>
      </c>
      <c r="H4" s="558" t="s">
        <v>109</v>
      </c>
      <c r="I4" s="559" t="s">
        <v>368</v>
      </c>
      <c r="J4" s="558" t="s">
        <v>110</v>
      </c>
      <c r="K4" s="558" t="s">
        <v>111</v>
      </c>
      <c r="L4" s="558" t="s">
        <v>76</v>
      </c>
      <c r="M4" s="558" t="s">
        <v>23</v>
      </c>
      <c r="N4" s="560" t="s">
        <v>22</v>
      </c>
      <c r="P4" s="39"/>
    </row>
    <row r="5" spans="1:16" s="38" customFormat="1" ht="14.25" customHeight="1">
      <c r="A5" s="844"/>
      <c r="B5" s="846"/>
      <c r="C5" s="846"/>
      <c r="D5" s="561" t="s">
        <v>112</v>
      </c>
      <c r="E5" s="561" t="s">
        <v>113</v>
      </c>
      <c r="F5" s="561"/>
      <c r="G5" s="561"/>
      <c r="H5" s="561" t="s">
        <v>114</v>
      </c>
      <c r="I5" s="562" t="s">
        <v>369</v>
      </c>
      <c r="J5" s="561" t="s">
        <v>115</v>
      </c>
      <c r="K5" s="561" t="s">
        <v>116</v>
      </c>
      <c r="L5" s="561"/>
      <c r="M5" s="561"/>
      <c r="N5" s="563" t="s">
        <v>117</v>
      </c>
      <c r="P5" s="39"/>
    </row>
    <row r="6" spans="1:16" s="38" customFormat="1" ht="17.25" customHeight="1">
      <c r="A6" s="564" t="s">
        <v>38</v>
      </c>
      <c r="B6" s="565"/>
      <c r="C6" s="565"/>
      <c r="D6" s="565"/>
      <c r="E6" s="565"/>
      <c r="F6" s="565"/>
      <c r="G6" s="565"/>
      <c r="H6" s="565"/>
      <c r="I6" s="566"/>
      <c r="J6" s="565"/>
      <c r="K6" s="565"/>
      <c r="L6" s="565"/>
      <c r="M6" s="565"/>
      <c r="N6" s="567"/>
      <c r="P6" s="39"/>
    </row>
    <row r="7" spans="1:16" s="38" customFormat="1" ht="17.25" customHeight="1">
      <c r="A7" s="568" t="s">
        <v>370</v>
      </c>
      <c r="B7" s="569">
        <f>N7</f>
        <v>4797995</v>
      </c>
      <c r="C7" s="569">
        <f aca="true" t="shared" si="0" ref="C7:C17">D7+E7+F7+G7+H7+J7+K7+I7+L7+M7</f>
        <v>4961449</v>
      </c>
      <c r="D7" s="569">
        <f>SUM('[2]รายจ่าย-บริหาร'!C8)</f>
        <v>4150269</v>
      </c>
      <c r="E7" s="569">
        <f>SUM('[2]สงบภายใน'!C8)</f>
        <v>0</v>
      </c>
      <c r="F7" s="569">
        <f>SUM('[2]รายจ่าย-ศึกษา'!C8)</f>
        <v>336430</v>
      </c>
      <c r="G7" s="569">
        <f>SUM('[2]รายจ่าย-สาธา'!C8)</f>
        <v>0</v>
      </c>
      <c r="H7" s="569">
        <f>SUM('[2]รายจ่าย-สังคม'!C8)</f>
        <v>0</v>
      </c>
      <c r="I7" s="569">
        <f>SUM('[2]เคหะ'!C8)</f>
        <v>327750</v>
      </c>
      <c r="J7" s="569">
        <f>SUM('[2]ความเข้มแข็งชุมชน'!C8)</f>
        <v>147000</v>
      </c>
      <c r="K7" s="569">
        <f>SUM('[2]ศาสนา'!C8)</f>
        <v>0</v>
      </c>
      <c r="L7" s="569">
        <f>SUM('[2]เกษตร'!C8)</f>
        <v>0</v>
      </c>
      <c r="M7" s="569">
        <v>0</v>
      </c>
      <c r="N7" s="570">
        <f>SUM('[2]รายจ่าย-บริหาร'!B8+'[2]รายจ่าย-ศึกษา'!B8+'[2]รายจ่าย-สาธา'!B8+'[2]รายจ่าย-สังคม'!B8+'[2]ความเข้มแข็งชุมชน'!B8+'[2]สงบภายใน'!B8+'[2]ศาสนา'!B8+'[2]เคหะ'!B8+'[2]เกษตร'!B8)</f>
        <v>4797995</v>
      </c>
      <c r="O7" s="40">
        <f>4269208-N7</f>
        <v>-528787</v>
      </c>
      <c r="P7" s="39"/>
    </row>
    <row r="8" spans="1:16" s="38" customFormat="1" ht="17.25" customHeight="1">
      <c r="A8" s="568" t="s">
        <v>371</v>
      </c>
      <c r="B8" s="569">
        <f aca="true" t="shared" si="1" ref="B8:B17">N8</f>
        <v>0</v>
      </c>
      <c r="C8" s="569">
        <f t="shared" si="0"/>
        <v>0</v>
      </c>
      <c r="D8" s="569">
        <f>SUM('[2]รายจ่าย-บริหาร'!C10)</f>
        <v>0</v>
      </c>
      <c r="E8" s="569">
        <f>SUM('[2]สงบภายใน'!C10)</f>
        <v>0</v>
      </c>
      <c r="F8" s="569">
        <f>SUM('[2]รายจ่าย-ศึกษา'!C10)</f>
        <v>0</v>
      </c>
      <c r="G8" s="569">
        <f>SUM('[2]รายจ่าย-สาธา'!C10)</f>
        <v>0</v>
      </c>
      <c r="H8" s="569">
        <f>SUM('[2]รายจ่าย-สังคม'!C10)</f>
        <v>0</v>
      </c>
      <c r="I8" s="569">
        <f>SUM('[2]เคหะ'!C10)</f>
        <v>0</v>
      </c>
      <c r="J8" s="569">
        <f>SUM('[2]ความเข้มแข็งชุมชน'!C10)</f>
        <v>0</v>
      </c>
      <c r="K8" s="569">
        <f>SUM('[2]ศาสนา'!C10)</f>
        <v>0</v>
      </c>
      <c r="L8" s="569">
        <f>SUM('[2]เกษตร'!C10)</f>
        <v>0</v>
      </c>
      <c r="M8" s="569">
        <v>0</v>
      </c>
      <c r="N8" s="570">
        <f>SUM('[2]รายจ่าย-บริหาร'!B10+'[2]รายจ่าย-ศึกษา'!B10+'[2]รายจ่าย-สาธา'!B10+'[2]รายจ่าย-สังคม'!B10+'[2]ความเข้มแข็งชุมชน'!B10+'[2]สงบภายใน'!B10+'[2]ศาสนา'!B10+'[2]เคหะ'!B10+'[2]เกษตร'!B10)</f>
        <v>0</v>
      </c>
      <c r="O8" s="40">
        <f>2837760-B8</f>
        <v>2837760</v>
      </c>
      <c r="P8" s="39">
        <v>2837760</v>
      </c>
    </row>
    <row r="9" spans="1:16" s="38" customFormat="1" ht="17.25" customHeight="1">
      <c r="A9" s="568" t="s">
        <v>555</v>
      </c>
      <c r="B9" s="569">
        <f t="shared" si="1"/>
        <v>1190050</v>
      </c>
      <c r="C9" s="569">
        <f t="shared" si="0"/>
        <v>1003817.5</v>
      </c>
      <c r="D9" s="569">
        <f>SUM('[2]รายจ่าย-บริหาร'!C11)</f>
        <v>915822.5</v>
      </c>
      <c r="E9" s="569">
        <f>SUM('[2]สงบภายใน'!D11)</f>
        <v>0</v>
      </c>
      <c r="F9" s="569">
        <f>SUM('[2]รายจ่าย-ศึกษา'!C11)</f>
        <v>0</v>
      </c>
      <c r="G9" s="569">
        <f>SUM('[2]รายจ่าย-สาธา'!C11)</f>
        <v>0</v>
      </c>
      <c r="H9" s="569">
        <f>SUM('[2]รายจ่าย-สังคม'!C11)</f>
        <v>0</v>
      </c>
      <c r="I9" s="569">
        <f>SUM('[2]เคหะ'!C11)</f>
        <v>81395</v>
      </c>
      <c r="J9" s="569">
        <f>SUM('[2]ความเข้มแข็งชุมชน'!C11)</f>
        <v>6600</v>
      </c>
      <c r="K9" s="569">
        <f>SUM('[2]ศาสนา'!C11)</f>
        <v>0</v>
      </c>
      <c r="L9" s="569">
        <f>SUM('[2]เกษตร'!C11)</f>
        <v>0</v>
      </c>
      <c r="M9" s="569">
        <v>0</v>
      </c>
      <c r="N9" s="570">
        <f>SUM('[2]รายจ่าย-บริหาร'!B11+'[2]รายจ่าย-ศึกษา'!B11+'[2]รายจ่าย-สาธา'!B11+'[2]รายจ่าย-สังคม'!B11+'[2]ความเข้มแข็งชุมชน'!B11+'[2]สงบภายใน'!B11+'[2]ศาสนา'!B11+'[2]เคหะ'!B11+'[2]เกษตร'!B11)</f>
        <v>1190050</v>
      </c>
      <c r="O9" s="40">
        <f>1384480-N9</f>
        <v>194430</v>
      </c>
      <c r="P9" s="39">
        <v>1384480</v>
      </c>
    </row>
    <row r="10" spans="1:16" s="38" customFormat="1" ht="17.25" customHeight="1">
      <c r="A10" s="568" t="s">
        <v>372</v>
      </c>
      <c r="B10" s="569">
        <f t="shared" si="1"/>
        <v>2705500</v>
      </c>
      <c r="C10" s="569">
        <f t="shared" si="0"/>
        <v>1871094.6</v>
      </c>
      <c r="D10" s="569">
        <f>SUM('[2]รายจ่าย-บริหาร'!C12)</f>
        <v>656096.6</v>
      </c>
      <c r="E10" s="569">
        <f>SUM('[2]สงบภายใน'!C12)</f>
        <v>190800</v>
      </c>
      <c r="F10" s="569">
        <f>SUM('[2]รายจ่าย-ศึกษา'!C12)</f>
        <v>266008</v>
      </c>
      <c r="G10" s="569">
        <f>SUM('[2]รายจ่าย-สาธา'!C12)</f>
        <v>17376</v>
      </c>
      <c r="H10" s="569">
        <f>SUM('[2]รายจ่าย-สังคม'!C12)</f>
        <v>0</v>
      </c>
      <c r="I10" s="569">
        <f>SUM('[2]เคหะ'!C12)</f>
        <v>194888</v>
      </c>
      <c r="J10" s="569">
        <f>SUM('[2]ความเข้มแข็งชุมชน'!C12)</f>
        <v>143450</v>
      </c>
      <c r="K10" s="569">
        <f>SUM('[2]ศาสนา'!C12)</f>
        <v>402476</v>
      </c>
      <c r="L10" s="569">
        <f>SUM('[2]เกษตร'!C12)</f>
        <v>0</v>
      </c>
      <c r="M10" s="569">
        <v>0</v>
      </c>
      <c r="N10" s="570">
        <f>SUM('[2]รายจ่าย-บริหาร'!B12+'[2]รายจ่าย-ศึกษา'!B12+'[2]รายจ่าย-สาธา'!B12+'[2]รายจ่าย-สังคม'!B12+'[2]ความเข้มแข็งชุมชน'!B12+'[2]สงบภายใน'!B12+'[2]ศาสนา'!B12+'[2]เคหะ'!B12+'[2]เกษตร'!B12)</f>
        <v>2705500</v>
      </c>
      <c r="O10" s="40">
        <f>4516400-N10</f>
        <v>1810900</v>
      </c>
      <c r="P10" s="39">
        <v>4516400</v>
      </c>
    </row>
    <row r="11" spans="1:16" s="38" customFormat="1" ht="17.25" customHeight="1">
      <c r="A11" s="568" t="s">
        <v>556</v>
      </c>
      <c r="B11" s="569">
        <f t="shared" si="1"/>
        <v>1085985</v>
      </c>
      <c r="C11" s="569">
        <f t="shared" si="0"/>
        <v>807535.94</v>
      </c>
      <c r="D11" s="569">
        <f>SUM('[2]รายจ่าย-บริหาร'!C13)</f>
        <v>437406.12</v>
      </c>
      <c r="E11" s="569">
        <f>SUM('[2]สงบภายใน'!C13)</f>
        <v>0</v>
      </c>
      <c r="F11" s="569">
        <f>SUM('[2]รายจ่าย-ศึกษา'!C13)</f>
        <v>97836.82</v>
      </c>
      <c r="G11" s="569">
        <f>SUM('[2]รายจ่าย-สาธา'!C13)</f>
        <v>66910</v>
      </c>
      <c r="H11" s="569">
        <f>SUM('[2]รายจ่าย-สังคม'!C13)</f>
        <v>0</v>
      </c>
      <c r="I11" s="569">
        <f>SUM('[2]เคหะ'!C13)</f>
        <v>135383</v>
      </c>
      <c r="J11" s="569">
        <f>SUM('[2]ความเข้มแข็งชุมชน'!C13)</f>
        <v>0</v>
      </c>
      <c r="K11" s="569">
        <f>SUM('[2]ศาสนา'!C13)</f>
        <v>70000</v>
      </c>
      <c r="L11" s="569">
        <f>SUM('[2]เกษตร'!C13)</f>
        <v>0</v>
      </c>
      <c r="M11" s="569">
        <v>0</v>
      </c>
      <c r="N11" s="570">
        <f>SUM('[2]รายจ่าย-บริหาร'!B13+'[2]รายจ่าย-ศึกษา'!B13+'[2]รายจ่าย-สาธา'!B13+'[2]รายจ่าย-สังคม'!B13+'[2]ความเข้มแข็งชุมชน'!B13+'[2]สงบภายใน'!B13+'[2]ศาสนา'!B13+'[2]เคหะ'!B13+'[2]เกษตร'!B13)</f>
        <v>1085985</v>
      </c>
      <c r="O11" s="40">
        <f>2112760-N11</f>
        <v>1026775</v>
      </c>
      <c r="P11" s="39">
        <v>2112760</v>
      </c>
    </row>
    <row r="12" spans="1:16" s="38" customFormat="1" ht="17.25" customHeight="1">
      <c r="A12" s="568" t="s">
        <v>118</v>
      </c>
      <c r="B12" s="569">
        <f t="shared" si="1"/>
        <v>289920</v>
      </c>
      <c r="C12" s="569">
        <f t="shared" si="0"/>
        <v>248178.15999999997</v>
      </c>
      <c r="D12" s="569">
        <f>SUM('[2]รายจ่าย-บริหาร'!C14)</f>
        <v>248178.15999999997</v>
      </c>
      <c r="E12" s="569">
        <f>SUM('[2]สงบภายใน'!C14)</f>
        <v>0</v>
      </c>
      <c r="F12" s="569">
        <f>SUM('[2]รายจ่าย-ศึกษา'!C14)</f>
        <v>0</v>
      </c>
      <c r="G12" s="569">
        <f>SUM('[2]รายจ่าย-สาธา'!C14)</f>
        <v>0</v>
      </c>
      <c r="H12" s="569">
        <f>SUM('[2]รายจ่าย-สังคม'!C14)</f>
        <v>0</v>
      </c>
      <c r="I12" s="569">
        <f>SUM('[2]เคหะ'!C14)</f>
        <v>0</v>
      </c>
      <c r="J12" s="569">
        <f>SUM('[2]ความเข้มแข็งชุมชน'!C14)</f>
        <v>0</v>
      </c>
      <c r="K12" s="569">
        <f>SUM('[2]ศาสนา'!C14)</f>
        <v>0</v>
      </c>
      <c r="L12" s="569">
        <f>SUM('[2]เกษตร'!C14)</f>
        <v>0</v>
      </c>
      <c r="M12" s="569">
        <v>0</v>
      </c>
      <c r="N12" s="570">
        <f>SUM('[2]รายจ่าย-บริหาร'!B14+'[2]รายจ่าย-ศึกษา'!B14+'[2]รายจ่าย-สาธา'!B14+'[2]รายจ่าย-สังคม'!B14+'[2]ความเข้มแข็งชุมชน'!B14+'[2]สงบภายใน'!B14+'[2]ศาสนา'!B14+'[2]เคหะ'!B14+'[2]เกษตร'!B14)</f>
        <v>289920</v>
      </c>
      <c r="O12" s="40">
        <f>359004-N12</f>
        <v>69084</v>
      </c>
      <c r="P12" s="39">
        <v>359004</v>
      </c>
    </row>
    <row r="13" spans="1:16" s="38" customFormat="1" ht="17.25" customHeight="1">
      <c r="A13" s="568" t="s">
        <v>373</v>
      </c>
      <c r="B13" s="569">
        <f t="shared" si="1"/>
        <v>256000</v>
      </c>
      <c r="C13" s="569">
        <f t="shared" si="0"/>
        <v>171000</v>
      </c>
      <c r="D13" s="569">
        <f>SUM('[2]รายจ่าย-บริหาร'!C15)</f>
        <v>66000</v>
      </c>
      <c r="E13" s="569">
        <f>SUM('[2]สงบภายใน'!C15)</f>
        <v>0</v>
      </c>
      <c r="F13" s="569">
        <f>SUM('[2]รายจ่าย-ศึกษา'!C15)</f>
        <v>0</v>
      </c>
      <c r="G13" s="569">
        <f>SUM('[2]รายจ่าย-สาธา'!C15)</f>
        <v>0</v>
      </c>
      <c r="H13" s="569">
        <f>SUM('[2]รายจ่าย-สังคม'!C15)</f>
        <v>0</v>
      </c>
      <c r="I13" s="569">
        <f>SUM('[2]เคหะ'!C15)</f>
        <v>0</v>
      </c>
      <c r="J13" s="569">
        <f>SUM('[2]ความเข้มแข็งชุมชน'!C15)</f>
        <v>30000</v>
      </c>
      <c r="K13" s="569">
        <f>SUM('[2]ศาสนา'!C15)</f>
        <v>75000</v>
      </c>
      <c r="L13" s="569">
        <f>SUM('[2]เกษตร'!C15)</f>
        <v>0</v>
      </c>
      <c r="M13" s="569">
        <v>0</v>
      </c>
      <c r="N13" s="570">
        <f>SUM('[2]รายจ่าย-บริหาร'!B15+'[2]รายจ่าย-ศึกษา'!B15+'[2]รายจ่าย-สาธา'!B15+'[2]รายจ่าย-สังคม'!B15+'[2]ความเข้มแข็งชุมชน'!B15+'[2]สงบภายใน'!B15+'[2]ศาสนา'!B15+'[2]เคหะ'!B15+'[2]เกษตร'!B15)</f>
        <v>256000</v>
      </c>
      <c r="O13" s="40">
        <f>709000-N13</f>
        <v>453000</v>
      </c>
      <c r="P13" s="39">
        <v>709000</v>
      </c>
    </row>
    <row r="14" spans="1:16" s="38" customFormat="1" ht="17.25" customHeight="1">
      <c r="A14" s="568" t="s">
        <v>119</v>
      </c>
      <c r="B14" s="569">
        <f t="shared" si="1"/>
        <v>0</v>
      </c>
      <c r="C14" s="569">
        <f t="shared" si="0"/>
        <v>0</v>
      </c>
      <c r="D14" s="569">
        <f>SUM('[2]รายจ่าย-บริหาร'!C16)</f>
        <v>0</v>
      </c>
      <c r="E14" s="569">
        <f>SUM('[2]สงบภายใน'!C16)</f>
        <v>0</v>
      </c>
      <c r="F14" s="569">
        <f>SUM('[2]รายจ่าย-ศึกษา'!C16)</f>
        <v>0</v>
      </c>
      <c r="G14" s="569">
        <f>SUM('[2]รายจ่าย-สาธา'!C16)</f>
        <v>0</v>
      </c>
      <c r="H14" s="569">
        <f>SUM('[2]รายจ่าย-สังคม'!C16)</f>
        <v>0</v>
      </c>
      <c r="I14" s="569">
        <f>SUM('[2]เคหะ'!C16)</f>
        <v>0</v>
      </c>
      <c r="J14" s="569">
        <f>SUM('[2]ความเข้มแข็งชุมชน'!C16)</f>
        <v>0</v>
      </c>
      <c r="K14" s="569">
        <f>SUM('[2]ศาสนา'!C16)</f>
        <v>0</v>
      </c>
      <c r="L14" s="569">
        <f>SUM('[2]เกษตร'!C16)</f>
        <v>0</v>
      </c>
      <c r="M14" s="569">
        <v>0</v>
      </c>
      <c r="N14" s="570">
        <f>SUM('[2]รายจ่าย-บริหาร'!B16+'[2]รายจ่าย-ศึกษา'!B16+'[2]รายจ่าย-สาธา'!B16+'[2]รายจ่าย-สังคม'!B16+'[2]ความเข้มแข็งชุมชน'!B16+'[2]สงบภายใน'!B16+'[2]ศาสนา'!B16+'[2]เคหะ'!B16+'[2]เกษตร'!B16)</f>
        <v>0</v>
      </c>
      <c r="O14" s="40">
        <f>88050-N14</f>
        <v>88050</v>
      </c>
      <c r="P14" s="39">
        <v>88050</v>
      </c>
    </row>
    <row r="15" spans="1:16" s="38" customFormat="1" ht="17.25" customHeight="1">
      <c r="A15" s="568" t="s">
        <v>557</v>
      </c>
      <c r="B15" s="569">
        <f t="shared" si="1"/>
        <v>848050</v>
      </c>
      <c r="C15" s="569">
        <f t="shared" si="0"/>
        <v>2491347</v>
      </c>
      <c r="D15" s="569">
        <f>'[1]รายจ่าย-บริหาร'!C17</f>
        <v>0</v>
      </c>
      <c r="E15" s="569">
        <f>SUM('[2]สงบภายใน'!C17)</f>
        <v>0</v>
      </c>
      <c r="F15" s="569">
        <f>SUM('[2]รายจ่าย-ศึกษา'!C17)</f>
        <v>0</v>
      </c>
      <c r="G15" s="569">
        <f>SUM('[2]รายจ่าย-สาธา'!C17)</f>
        <v>0</v>
      </c>
      <c r="H15" s="569">
        <f>SUM('[2]รายจ่าย-สังคม'!C17)</f>
        <v>0</v>
      </c>
      <c r="I15" s="569">
        <f>SUM('[2]เคหะ'!C17)</f>
        <v>0</v>
      </c>
      <c r="J15" s="569">
        <f>SUM('[2]ความเข้มแข็งชุมชน'!C17)</f>
        <v>0</v>
      </c>
      <c r="K15" s="569">
        <f>SUM('[2]ศาสนา'!C17:C17)</f>
        <v>0</v>
      </c>
      <c r="L15" s="569">
        <f>SUM('[2]เกษตร'!C17)</f>
        <v>0</v>
      </c>
      <c r="M15" s="569">
        <f>SUM('[2]งบกลาง'!C20)</f>
        <v>2491347</v>
      </c>
      <c r="N15" s="570">
        <f>SUM('[2]งบกลาง'!B20)</f>
        <v>848050</v>
      </c>
      <c r="O15" s="40">
        <f>1644858-N15</f>
        <v>796808</v>
      </c>
      <c r="P15" s="39">
        <v>1644858</v>
      </c>
    </row>
    <row r="16" spans="1:16" s="38" customFormat="1" ht="17.25" customHeight="1">
      <c r="A16" s="568" t="s">
        <v>374</v>
      </c>
      <c r="B16" s="569">
        <f t="shared" si="1"/>
        <v>895500</v>
      </c>
      <c r="C16" s="569">
        <f t="shared" si="0"/>
        <v>59194.3</v>
      </c>
      <c r="D16" s="569">
        <f>SUM('[2]รายจ่าย-บริหาร'!C18)</f>
        <v>44194.3</v>
      </c>
      <c r="E16" s="569">
        <f>SUM('[2]สงบภายใน'!C18)</f>
        <v>0</v>
      </c>
      <c r="F16" s="569">
        <f>SUM('[2]รายจ่าย-ศึกษา'!C18)</f>
        <v>0</v>
      </c>
      <c r="G16" s="569">
        <f>SUM('[2]รายจ่าย-สาธา'!C18)</f>
        <v>0</v>
      </c>
      <c r="H16" s="569">
        <f>SUM('[2]รายจ่าย-สังคม'!C18)</f>
        <v>0</v>
      </c>
      <c r="I16" s="569">
        <f>SUM('[2]เคหะ'!C18)</f>
        <v>15000</v>
      </c>
      <c r="J16" s="569">
        <f>SUM('[2]ความเข้มแข็งชุมชน'!C18)</f>
        <v>0</v>
      </c>
      <c r="K16" s="569">
        <f>SUM('[2]ศาสนา'!C18)</f>
        <v>0</v>
      </c>
      <c r="L16" s="569">
        <f>SUM('[2]เกษตร'!C18)</f>
        <v>0</v>
      </c>
      <c r="M16" s="569">
        <v>0</v>
      </c>
      <c r="N16" s="570">
        <f>SUM('[2]รายจ่าย-บริหาร'!B18+'[2]รายจ่าย-ศึกษา'!B18+'[2]รายจ่าย-สาธา'!B18+'[2]รายจ่าย-สังคม'!B18+'[2]ความเข้มแข็งชุมชน'!B18+'[2]สงบภายใน'!B18+'[2]ศาสนา'!B18+'[2]เคหะ'!B18+'[2]เกษตร'!B18)</f>
        <v>895500</v>
      </c>
      <c r="O16" s="40">
        <f>1399280-N16</f>
        <v>503780</v>
      </c>
      <c r="P16" s="39">
        <v>1399280</v>
      </c>
    </row>
    <row r="17" spans="1:16" s="38" customFormat="1" ht="17.25" customHeight="1">
      <c r="A17" s="571" t="s">
        <v>558</v>
      </c>
      <c r="B17" s="569">
        <f t="shared" si="1"/>
        <v>2131000</v>
      </c>
      <c r="C17" s="569">
        <f t="shared" si="0"/>
        <v>3378300</v>
      </c>
      <c r="D17" s="569">
        <f>SUM('[2]รายจ่าย-บริหาร'!C19)</f>
        <v>0</v>
      </c>
      <c r="E17" s="569">
        <f>SUM('[2]สงบภายใน'!C19)</f>
        <v>0</v>
      </c>
      <c r="F17" s="569">
        <f>SUM('[2]รายจ่าย-ศึกษา'!C19)</f>
        <v>0</v>
      </c>
      <c r="G17" s="569">
        <f>SUM('[2]รายจ่าย-สาธา'!C19)</f>
        <v>0</v>
      </c>
      <c r="H17" s="569">
        <f>SUM('[2]รายจ่าย-สังคม'!C19)</f>
        <v>0</v>
      </c>
      <c r="I17" s="569">
        <f>SUM('[2]เคหะ'!C19)</f>
        <v>3378300</v>
      </c>
      <c r="J17" s="569">
        <f>SUM('[2]ความเข้มแข็งชุมชน'!C19)</f>
        <v>0</v>
      </c>
      <c r="K17" s="569">
        <f>SUM('[2]ศาสนา'!C19)</f>
        <v>0</v>
      </c>
      <c r="L17" s="569">
        <f>SUM('[2]เกษตร'!C19)</f>
        <v>0</v>
      </c>
      <c r="M17" s="572">
        <v>0</v>
      </c>
      <c r="N17" s="573">
        <f>SUM('[2]รายจ่าย-บริหาร'!B19+'[2]รายจ่าย-ศึกษา'!B19+'[2]รายจ่าย-สาธา'!B19+'[2]รายจ่าย-สังคม'!B19+'[2]ความเข้มแข็งชุมชน'!B19+'[2]สงบภายใน'!B19+'[2]ศาสนา'!B19+'[2]เคหะ'!B19+'[2]เกษตร'!B19)</f>
        <v>2131000</v>
      </c>
      <c r="O17" s="40">
        <f>8181800-B17</f>
        <v>6050800</v>
      </c>
      <c r="P17" s="39">
        <v>8181800</v>
      </c>
    </row>
    <row r="18" spans="1:16" s="38" customFormat="1" ht="17.25" customHeight="1" thickBot="1">
      <c r="A18" s="574" t="s">
        <v>39</v>
      </c>
      <c r="B18" s="575">
        <f>SUM(B7:B17)</f>
        <v>14200000</v>
      </c>
      <c r="C18" s="575">
        <f>SUM(C7:C17)</f>
        <v>14991916.5</v>
      </c>
      <c r="D18" s="575">
        <f aca="true" t="shared" si="2" ref="D18:M18">SUM(D7:D17)</f>
        <v>6517966.68</v>
      </c>
      <c r="E18" s="575">
        <f>E10+E16</f>
        <v>190800</v>
      </c>
      <c r="F18" s="575">
        <f t="shared" si="2"/>
        <v>700274.8200000001</v>
      </c>
      <c r="G18" s="575">
        <f t="shared" si="2"/>
        <v>84286</v>
      </c>
      <c r="H18" s="575">
        <f t="shared" si="2"/>
        <v>0</v>
      </c>
      <c r="I18" s="575">
        <f>SUM(I7:I17)</f>
        <v>4132716</v>
      </c>
      <c r="J18" s="575">
        <f t="shared" si="2"/>
        <v>327050</v>
      </c>
      <c r="K18" s="575">
        <f t="shared" si="2"/>
        <v>547476</v>
      </c>
      <c r="L18" s="575">
        <f t="shared" si="2"/>
        <v>0</v>
      </c>
      <c r="M18" s="575">
        <f t="shared" si="2"/>
        <v>2491347</v>
      </c>
      <c r="N18" s="576">
        <f>SUM(N7:N17)</f>
        <v>14200000</v>
      </c>
      <c r="O18" s="40">
        <f>N18-B18</f>
        <v>0</v>
      </c>
      <c r="P18" s="39"/>
    </row>
    <row r="19" spans="1:15" ht="17.25" customHeight="1" thickTop="1">
      <c r="A19" s="577" t="s">
        <v>40</v>
      </c>
      <c r="B19" s="578"/>
      <c r="C19" s="578"/>
      <c r="D19" s="578"/>
      <c r="E19" s="578"/>
      <c r="F19" s="578"/>
      <c r="G19" s="578"/>
      <c r="H19" s="578"/>
      <c r="I19" s="579"/>
      <c r="J19" s="578"/>
      <c r="K19" s="578"/>
      <c r="L19" s="578"/>
      <c r="M19" s="580"/>
      <c r="N19" s="581"/>
      <c r="O19" s="41">
        <f>N18-27502600</f>
        <v>-13302600</v>
      </c>
    </row>
    <row r="20" spans="1:14" ht="17.25" customHeight="1">
      <c r="A20" s="568" t="s">
        <v>120</v>
      </c>
      <c r="B20" s="569">
        <v>83500</v>
      </c>
      <c r="C20" s="569">
        <f>167645.31</f>
        <v>167645.31</v>
      </c>
      <c r="D20" s="569"/>
      <c r="E20" s="569"/>
      <c r="F20" s="569"/>
      <c r="G20" s="569"/>
      <c r="H20" s="569"/>
      <c r="I20" s="569"/>
      <c r="J20" s="569"/>
      <c r="K20" s="569"/>
      <c r="L20" s="569"/>
      <c r="M20" s="569"/>
      <c r="N20" s="570"/>
    </row>
    <row r="21" spans="1:14" ht="17.25" customHeight="1">
      <c r="A21" s="568" t="s">
        <v>121</v>
      </c>
      <c r="B21" s="569">
        <v>22440</v>
      </c>
      <c r="C21" s="569">
        <f>SUM(76780.92)</f>
        <v>76780.92</v>
      </c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70"/>
    </row>
    <row r="22" spans="1:14" ht="17.25" customHeight="1">
      <c r="A22" s="568" t="s">
        <v>122</v>
      </c>
      <c r="B22" s="569">
        <v>25000</v>
      </c>
      <c r="C22" s="569">
        <f>SUM(61945.56)</f>
        <v>61945.56</v>
      </c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70"/>
    </row>
    <row r="23" spans="1:14" ht="17.25" customHeight="1">
      <c r="A23" s="568" t="s">
        <v>123</v>
      </c>
      <c r="B23" s="582">
        <v>8000</v>
      </c>
      <c r="C23" s="569">
        <f>SUM(161325)</f>
        <v>161325</v>
      </c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70"/>
    </row>
    <row r="24" spans="1:14" ht="17.25" customHeight="1">
      <c r="A24" s="568" t="s">
        <v>124</v>
      </c>
      <c r="B24" s="569">
        <v>210060</v>
      </c>
      <c r="C24" s="569">
        <f>SUM(76210)</f>
        <v>76210</v>
      </c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70"/>
    </row>
    <row r="25" spans="1:14" ht="17.25" customHeight="1">
      <c r="A25" s="568" t="s">
        <v>125</v>
      </c>
      <c r="B25" s="582">
        <v>0</v>
      </c>
      <c r="C25" s="569">
        <f>SUM(0)</f>
        <v>0</v>
      </c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70"/>
    </row>
    <row r="26" spans="1:14" ht="17.25" customHeight="1">
      <c r="A26" s="568" t="s">
        <v>126</v>
      </c>
      <c r="B26" s="569">
        <v>8651000</v>
      </c>
      <c r="C26" s="569">
        <f>SUM(7590006.78)</f>
        <v>7590006.78</v>
      </c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70"/>
    </row>
    <row r="27" spans="1:14" ht="17.25" customHeight="1">
      <c r="A27" s="568" t="s">
        <v>127</v>
      </c>
      <c r="B27" s="569">
        <v>5200000</v>
      </c>
      <c r="C27" s="569">
        <v>2893096</v>
      </c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70"/>
    </row>
    <row r="28" spans="1:14" ht="17.25" customHeight="1">
      <c r="A28" s="568" t="s">
        <v>559</v>
      </c>
      <c r="B28" s="582">
        <v>0</v>
      </c>
      <c r="C28" s="569">
        <v>0</v>
      </c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70"/>
    </row>
    <row r="29" spans="1:14" ht="17.25" customHeight="1">
      <c r="A29" s="583" t="s">
        <v>128</v>
      </c>
      <c r="B29" s="584">
        <v>0</v>
      </c>
      <c r="C29" s="585">
        <f>1775400+206000+216360+118900+18000+7392+1858500</f>
        <v>4200552</v>
      </c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6"/>
    </row>
    <row r="30" spans="1:14" ht="18.75" customHeight="1" thickBot="1">
      <c r="A30" s="574" t="s">
        <v>41</v>
      </c>
      <c r="B30" s="575">
        <f>SUM(B20:B29)</f>
        <v>14200000</v>
      </c>
      <c r="C30" s="575">
        <f>SUM(C20:C29)</f>
        <v>15227561.57</v>
      </c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76"/>
    </row>
    <row r="31" spans="1:14" ht="18.75" customHeight="1" thickBot="1" thickTop="1">
      <c r="A31" s="588" t="s">
        <v>131</v>
      </c>
      <c r="B31" s="215"/>
      <c r="C31" s="589">
        <f>C30-C18</f>
        <v>235645.0700000003</v>
      </c>
      <c r="D31" s="215"/>
      <c r="E31" s="215"/>
      <c r="F31" s="215"/>
      <c r="G31" s="215"/>
      <c r="H31" s="215"/>
      <c r="I31" s="221"/>
      <c r="J31" s="215"/>
      <c r="K31" s="215"/>
      <c r="L31" s="215"/>
      <c r="M31" s="215"/>
      <c r="N31" s="590"/>
    </row>
    <row r="32" spans="1:14" ht="17.25" customHeight="1" thickTop="1">
      <c r="A32" s="215" t="s">
        <v>375</v>
      </c>
      <c r="B32" s="215"/>
      <c r="C32" s="215"/>
      <c r="D32" s="215"/>
      <c r="E32" s="215"/>
      <c r="F32" s="215"/>
      <c r="G32" s="215" t="s">
        <v>376</v>
      </c>
      <c r="H32" s="215"/>
      <c r="I32" s="221"/>
      <c r="J32" s="215"/>
      <c r="K32" s="215" t="s">
        <v>410</v>
      </c>
      <c r="L32" s="215"/>
      <c r="M32" s="215"/>
      <c r="N32" s="591"/>
    </row>
    <row r="33" spans="1:14" ht="21">
      <c r="A33" s="215" t="s">
        <v>377</v>
      </c>
      <c r="B33" s="215"/>
      <c r="C33" s="215"/>
      <c r="D33" s="215"/>
      <c r="E33" s="215"/>
      <c r="F33" s="215"/>
      <c r="G33" s="215" t="s">
        <v>378</v>
      </c>
      <c r="H33" s="215"/>
      <c r="I33" s="221"/>
      <c r="J33" s="215"/>
      <c r="K33" s="215" t="s">
        <v>411</v>
      </c>
      <c r="L33" s="215"/>
      <c r="M33" s="215"/>
      <c r="N33" s="591"/>
    </row>
    <row r="34" spans="1:14" ht="21">
      <c r="A34" s="215"/>
      <c r="B34" s="215"/>
      <c r="C34" s="215"/>
      <c r="D34" s="215"/>
      <c r="E34" s="215"/>
      <c r="F34" s="215"/>
      <c r="G34" s="215"/>
      <c r="H34" s="215"/>
      <c r="I34" s="221"/>
      <c r="J34" s="215"/>
      <c r="K34" s="215"/>
      <c r="L34" s="215"/>
      <c r="M34" s="215"/>
      <c r="N34" s="591"/>
    </row>
    <row r="35" spans="1:14" ht="21">
      <c r="A35" s="215"/>
      <c r="B35" s="215"/>
      <c r="C35" s="215"/>
      <c r="D35" s="215"/>
      <c r="E35" s="215"/>
      <c r="F35" s="215"/>
      <c r="G35" s="215"/>
      <c r="H35" s="215"/>
      <c r="I35" s="221"/>
      <c r="J35" s="215"/>
      <c r="K35" s="215"/>
      <c r="L35" s="215"/>
      <c r="M35" s="215"/>
      <c r="N35" s="591"/>
    </row>
    <row r="36" spans="1:14" ht="21">
      <c r="A36" s="215"/>
      <c r="B36" s="215"/>
      <c r="C36" s="215"/>
      <c r="D36" s="215"/>
      <c r="E36" s="215"/>
      <c r="F36" s="215"/>
      <c r="G36" s="215"/>
      <c r="H36" s="215"/>
      <c r="I36" s="221"/>
      <c r="J36" s="215"/>
      <c r="K36" s="215"/>
      <c r="L36" s="215"/>
      <c r="M36" s="215"/>
      <c r="N36" s="591"/>
    </row>
  </sheetData>
  <sheetProtection/>
  <mergeCells count="6">
    <mergeCell ref="A4:A5"/>
    <mergeCell ref="B4:B5"/>
    <mergeCell ref="C4:C5"/>
    <mergeCell ref="A1:M1"/>
    <mergeCell ref="A2:M2"/>
    <mergeCell ref="A3:M3"/>
  </mergeCells>
  <printOptions/>
  <pageMargins left="0.9448818897637796" right="0" top="0.4724409448818898" bottom="0.1968503937007874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7"/>
  <sheetViews>
    <sheetView zoomScalePageLayoutView="0" workbookViewId="0" topLeftCell="A593">
      <selection activeCell="E594" sqref="A1:E594"/>
    </sheetView>
  </sheetViews>
  <sheetFormatPr defaultColWidth="9.140625" defaultRowHeight="21.75"/>
  <cols>
    <col min="1" max="1" width="54.00390625" style="311" customWidth="1"/>
    <col min="2" max="2" width="9.8515625" style="311" bestFit="1" customWidth="1"/>
    <col min="3" max="3" width="16.57421875" style="311" customWidth="1"/>
    <col min="4" max="5" width="16.28125" style="349" customWidth="1"/>
    <col min="6" max="6" width="13.28125" style="311" customWidth="1"/>
    <col min="7" max="7" width="13.421875" style="311" customWidth="1"/>
    <col min="8" max="16384" width="9.140625" style="311" customWidth="1"/>
  </cols>
  <sheetData>
    <row r="1" spans="1:5" ht="21" customHeight="1" hidden="1">
      <c r="A1" s="810" t="s">
        <v>440</v>
      </c>
      <c r="B1" s="810"/>
      <c r="C1" s="810"/>
      <c r="D1" s="810"/>
      <c r="E1" s="810"/>
    </row>
    <row r="2" spans="1:5" ht="21" customHeight="1" hidden="1">
      <c r="A2" s="810" t="s">
        <v>441</v>
      </c>
      <c r="B2" s="810"/>
      <c r="C2" s="810"/>
      <c r="D2" s="810"/>
      <c r="E2" s="810"/>
    </row>
    <row r="3" spans="1:5" ht="21" customHeight="1" hidden="1">
      <c r="A3" s="811" t="s">
        <v>442</v>
      </c>
      <c r="B3" s="811"/>
      <c r="C3" s="811"/>
      <c r="D3" s="811"/>
      <c r="E3" s="811"/>
    </row>
    <row r="4" spans="1:5" ht="18.75" hidden="1">
      <c r="A4" s="316"/>
      <c r="B4" s="316"/>
      <c r="C4" s="316"/>
      <c r="D4" s="317"/>
      <c r="E4" s="317"/>
    </row>
    <row r="5" spans="1:5" ht="18.75" hidden="1">
      <c r="A5" s="316"/>
      <c r="B5" s="316"/>
      <c r="C5" s="316"/>
      <c r="D5" s="317"/>
      <c r="E5" s="317"/>
    </row>
    <row r="6" spans="1:5" ht="18.75" hidden="1">
      <c r="A6" s="315"/>
      <c r="B6" s="315"/>
      <c r="C6" s="315"/>
      <c r="D6" s="318"/>
      <c r="E6" s="318"/>
    </row>
    <row r="7" spans="1:5" ht="21" customHeight="1" hidden="1">
      <c r="A7" s="807" t="s">
        <v>40</v>
      </c>
      <c r="B7" s="808"/>
      <c r="C7" s="808"/>
      <c r="D7" s="808"/>
      <c r="E7" s="809"/>
    </row>
    <row r="8" spans="1:5" ht="18.75" hidden="1">
      <c r="A8" s="319" t="s">
        <v>35</v>
      </c>
      <c r="B8" s="319" t="s">
        <v>133</v>
      </c>
      <c r="C8" s="319" t="s">
        <v>22</v>
      </c>
      <c r="D8" s="345" t="s">
        <v>134</v>
      </c>
      <c r="E8" s="345" t="s">
        <v>135</v>
      </c>
    </row>
    <row r="9" spans="1:5" ht="18.75" hidden="1">
      <c r="A9" s="320" t="s">
        <v>443</v>
      </c>
      <c r="B9" s="321"/>
      <c r="C9" s="321"/>
      <c r="D9" s="322"/>
      <c r="E9" s="322"/>
    </row>
    <row r="10" spans="1:5" ht="18.75" hidden="1">
      <c r="A10" s="329" t="s">
        <v>444</v>
      </c>
      <c r="B10" s="351" t="s">
        <v>445</v>
      </c>
      <c r="C10" s="321"/>
      <c r="D10" s="322"/>
      <c r="E10" s="322"/>
    </row>
    <row r="11" spans="1:5" ht="18.75" hidden="1">
      <c r="A11" s="324" t="s">
        <v>446</v>
      </c>
      <c r="B11" s="325" t="s">
        <v>447</v>
      </c>
      <c r="C11" s="326">
        <v>35000</v>
      </c>
      <c r="D11" s="327" t="s">
        <v>158</v>
      </c>
      <c r="E11" s="327" t="s">
        <v>158</v>
      </c>
    </row>
    <row r="12" spans="1:5" ht="18.75" hidden="1">
      <c r="A12" s="324" t="s">
        <v>448</v>
      </c>
      <c r="B12" s="325" t="s">
        <v>449</v>
      </c>
      <c r="C12" s="328">
        <v>38000</v>
      </c>
      <c r="D12" s="341">
        <v>459.24</v>
      </c>
      <c r="E12" s="341">
        <v>459.24</v>
      </c>
    </row>
    <row r="13" spans="1:5" ht="18.75" hidden="1">
      <c r="A13" s="324" t="s">
        <v>450</v>
      </c>
      <c r="B13" s="325" t="s">
        <v>451</v>
      </c>
      <c r="C13" s="328">
        <v>20000</v>
      </c>
      <c r="D13" s="327" t="s">
        <v>158</v>
      </c>
      <c r="E13" s="327" t="s">
        <v>158</v>
      </c>
    </row>
    <row r="14" spans="1:5" ht="18.75" hidden="1">
      <c r="A14" s="324" t="s">
        <v>452</v>
      </c>
      <c r="B14" s="325" t="s">
        <v>453</v>
      </c>
      <c r="C14" s="328">
        <v>10000</v>
      </c>
      <c r="D14" s="341">
        <v>930</v>
      </c>
      <c r="E14" s="341">
        <v>930</v>
      </c>
    </row>
    <row r="15" spans="1:5" ht="18.75" hidden="1">
      <c r="A15" s="324"/>
      <c r="B15" s="325"/>
      <c r="C15" s="399"/>
      <c r="D15" s="400"/>
      <c r="E15" s="401"/>
    </row>
    <row r="16" spans="1:5" s="312" customFormat="1" ht="19.5" hidden="1" thickBot="1">
      <c r="A16" s="329" t="s">
        <v>0</v>
      </c>
      <c r="B16" s="323"/>
      <c r="C16" s="402">
        <f>SUM(C11:C15)</f>
        <v>103000</v>
      </c>
      <c r="D16" s="403">
        <f>SUM(D12:D15)</f>
        <v>1389.24</v>
      </c>
      <c r="E16" s="402">
        <f>SUM(E12:E15)</f>
        <v>1389.24</v>
      </c>
    </row>
    <row r="17" spans="1:5" s="312" customFormat="1" ht="18.75" hidden="1">
      <c r="A17" s="329"/>
      <c r="B17" s="323"/>
      <c r="C17" s="331"/>
      <c r="D17" s="331"/>
      <c r="E17" s="331"/>
    </row>
    <row r="18" spans="1:5" ht="18.75" hidden="1">
      <c r="A18" s="329" t="s">
        <v>454</v>
      </c>
      <c r="B18" s="351" t="s">
        <v>455</v>
      </c>
      <c r="C18" s="321"/>
      <c r="D18" s="322"/>
      <c r="E18" s="322"/>
    </row>
    <row r="19" spans="1:5" ht="18.75" hidden="1">
      <c r="A19" s="324" t="s">
        <v>457</v>
      </c>
      <c r="B19" s="325" t="s">
        <v>456</v>
      </c>
      <c r="C19" s="332">
        <v>3000</v>
      </c>
      <c r="D19" s="341">
        <v>1674</v>
      </c>
      <c r="E19" s="341">
        <v>1674</v>
      </c>
    </row>
    <row r="20" spans="1:5" ht="18.75" hidden="1">
      <c r="A20" s="404" t="s">
        <v>458</v>
      </c>
      <c r="B20" s="325" t="s">
        <v>459</v>
      </c>
      <c r="C20" s="325" t="s">
        <v>158</v>
      </c>
      <c r="D20" s="327" t="s">
        <v>158</v>
      </c>
      <c r="E20" s="327" t="s">
        <v>158</v>
      </c>
    </row>
    <row r="21" spans="1:5" ht="18.75" hidden="1">
      <c r="A21" s="324" t="s">
        <v>460</v>
      </c>
      <c r="B21" s="325" t="s">
        <v>461</v>
      </c>
      <c r="C21" s="325" t="s">
        <v>158</v>
      </c>
      <c r="D21" s="341">
        <v>1200</v>
      </c>
      <c r="E21" s="341">
        <v>1200</v>
      </c>
    </row>
    <row r="22" spans="1:5" ht="18.75" hidden="1">
      <c r="A22" s="404" t="s">
        <v>462</v>
      </c>
      <c r="B22" s="325" t="s">
        <v>463</v>
      </c>
      <c r="C22" s="322">
        <v>400</v>
      </c>
      <c r="D22" s="327" t="s">
        <v>158</v>
      </c>
      <c r="E22" s="327" t="s">
        <v>158</v>
      </c>
    </row>
    <row r="23" spans="1:5" ht="18.75" hidden="1">
      <c r="A23" s="324" t="s">
        <v>464</v>
      </c>
      <c r="B23" s="325" t="s">
        <v>465</v>
      </c>
      <c r="C23" s="322">
        <v>5000</v>
      </c>
      <c r="D23" s="341">
        <v>300</v>
      </c>
      <c r="E23" s="341">
        <v>300</v>
      </c>
    </row>
    <row r="24" spans="1:5" ht="18.75" hidden="1">
      <c r="A24" s="404"/>
      <c r="B24" s="325"/>
      <c r="C24" s="322"/>
      <c r="D24" s="327"/>
      <c r="E24" s="327"/>
    </row>
    <row r="25" spans="1:5" ht="19.5" hidden="1" thickBot="1">
      <c r="A25" s="329" t="s">
        <v>0</v>
      </c>
      <c r="B25" s="333"/>
      <c r="C25" s="330">
        <f>SUM(C19:C24)</f>
        <v>8400</v>
      </c>
      <c r="D25" s="335">
        <f>SUM(D19:D24)</f>
        <v>3174</v>
      </c>
      <c r="E25" s="330">
        <f>SUM(E19:E24)</f>
        <v>3174</v>
      </c>
    </row>
    <row r="26" spans="1:5" ht="19.5" hidden="1" thickTop="1">
      <c r="A26" s="323"/>
      <c r="B26" s="325"/>
      <c r="C26" s="405"/>
      <c r="E26" s="406"/>
    </row>
    <row r="27" spans="1:5" ht="18.75" hidden="1">
      <c r="A27" s="329" t="s">
        <v>466</v>
      </c>
      <c r="B27" s="351" t="s">
        <v>467</v>
      </c>
      <c r="C27" s="405"/>
      <c r="E27" s="322"/>
    </row>
    <row r="28" spans="1:5" ht="18.75" hidden="1">
      <c r="A28" s="321" t="s">
        <v>468</v>
      </c>
      <c r="B28" s="325" t="s">
        <v>469</v>
      </c>
      <c r="C28" s="322">
        <v>5000</v>
      </c>
      <c r="D28" s="341">
        <v>39.56</v>
      </c>
      <c r="E28" s="341">
        <v>39.56</v>
      </c>
    </row>
    <row r="29" spans="1:5" s="312" customFormat="1" ht="18.75" hidden="1">
      <c r="A29" s="321"/>
      <c r="B29" s="325"/>
      <c r="C29" s="322"/>
      <c r="D29" s="322"/>
      <c r="E29" s="322"/>
    </row>
    <row r="30" spans="1:5" ht="19.5" hidden="1" thickBot="1">
      <c r="A30" s="334" t="s">
        <v>0</v>
      </c>
      <c r="B30" s="334"/>
      <c r="C30" s="330">
        <f>SUM(C28:C29)</f>
        <v>5000</v>
      </c>
      <c r="D30" s="330">
        <f>SUM(D28:D29)</f>
        <v>39.56</v>
      </c>
      <c r="E30" s="330">
        <f>SUM(E28:E29)</f>
        <v>39.56</v>
      </c>
    </row>
    <row r="31" spans="1:5" ht="19.5" hidden="1" thickTop="1">
      <c r="A31" s="329"/>
      <c r="B31" s="334"/>
      <c r="C31" s="331"/>
      <c r="E31" s="406"/>
    </row>
    <row r="32" spans="1:5" ht="18.75" hidden="1">
      <c r="A32" s="329" t="s">
        <v>471</v>
      </c>
      <c r="B32" s="351" t="s">
        <v>472</v>
      </c>
      <c r="C32" s="322"/>
      <c r="E32" s="322"/>
    </row>
    <row r="33" spans="1:5" ht="18.75" hidden="1">
      <c r="A33" s="324" t="s">
        <v>473</v>
      </c>
      <c r="B33" s="325" t="s">
        <v>474</v>
      </c>
      <c r="C33" s="322">
        <v>50000</v>
      </c>
      <c r="D33" s="327" t="s">
        <v>158</v>
      </c>
      <c r="E33" s="327" t="s">
        <v>158</v>
      </c>
    </row>
    <row r="34" spans="1:5" s="312" customFormat="1" ht="18.75" hidden="1">
      <c r="A34" s="404"/>
      <c r="B34" s="325"/>
      <c r="C34" s="322"/>
      <c r="D34" s="400"/>
      <c r="E34" s="400"/>
    </row>
    <row r="35" spans="1:5" ht="19.5" hidden="1" thickBot="1">
      <c r="A35" s="319" t="s">
        <v>0</v>
      </c>
      <c r="B35" s="338"/>
      <c r="C35" s="330">
        <f>SUM(C33:C34)</f>
        <v>50000</v>
      </c>
      <c r="D35" s="335">
        <v>0</v>
      </c>
      <c r="E35" s="335">
        <v>0</v>
      </c>
    </row>
    <row r="36" spans="2:6" ht="18.75" hidden="1">
      <c r="B36" s="407"/>
      <c r="C36" s="408"/>
      <c r="D36" s="409"/>
      <c r="E36" s="317"/>
      <c r="F36" s="317"/>
    </row>
    <row r="37" spans="2:6" ht="18.75" hidden="1">
      <c r="B37" s="356"/>
      <c r="C37" s="410"/>
      <c r="D37" s="409"/>
      <c r="E37" s="317"/>
      <c r="F37" s="317"/>
    </row>
    <row r="38" spans="1:5" ht="18.75" hidden="1">
      <c r="A38" s="812" t="s">
        <v>475</v>
      </c>
      <c r="B38" s="813"/>
      <c r="C38" s="813"/>
      <c r="D38" s="813"/>
      <c r="E38" s="813"/>
    </row>
    <row r="39" spans="1:5" ht="21" customHeight="1" hidden="1">
      <c r="A39" s="807" t="s">
        <v>40</v>
      </c>
      <c r="B39" s="808"/>
      <c r="C39" s="808"/>
      <c r="D39" s="808"/>
      <c r="E39" s="809"/>
    </row>
    <row r="40" spans="1:5" ht="18.75" hidden="1">
      <c r="A40" s="145" t="s">
        <v>35</v>
      </c>
      <c r="B40" s="319" t="s">
        <v>133</v>
      </c>
      <c r="C40" s="319" t="s">
        <v>22</v>
      </c>
      <c r="D40" s="345" t="s">
        <v>134</v>
      </c>
      <c r="E40" s="345" t="s">
        <v>135</v>
      </c>
    </row>
    <row r="41" spans="1:5" ht="18.75" hidden="1">
      <c r="A41" s="339" t="s">
        <v>476</v>
      </c>
      <c r="B41" s="321"/>
      <c r="C41" s="321"/>
      <c r="D41" s="322"/>
      <c r="E41" s="350"/>
    </row>
    <row r="42" spans="1:5" ht="18.75" hidden="1">
      <c r="A42" s="334" t="s">
        <v>477</v>
      </c>
      <c r="B42" s="351" t="s">
        <v>478</v>
      </c>
      <c r="C42" s="321"/>
      <c r="D42" s="322"/>
      <c r="E42" s="322"/>
    </row>
    <row r="43" spans="1:5" ht="18.75" hidden="1">
      <c r="A43" s="321" t="s">
        <v>479</v>
      </c>
      <c r="B43" s="325" t="s">
        <v>480</v>
      </c>
      <c r="C43" s="332">
        <v>5000000</v>
      </c>
      <c r="D43" s="327" t="s">
        <v>158</v>
      </c>
      <c r="E43" s="327" t="s">
        <v>158</v>
      </c>
    </row>
    <row r="44" spans="1:5" ht="18.75" hidden="1">
      <c r="A44" s="321" t="s">
        <v>481</v>
      </c>
      <c r="B44" s="325" t="s">
        <v>482</v>
      </c>
      <c r="C44" s="341">
        <v>5000</v>
      </c>
      <c r="D44" s="327" t="s">
        <v>158</v>
      </c>
      <c r="E44" s="327" t="s">
        <v>158</v>
      </c>
    </row>
    <row r="45" spans="1:5" ht="18.75" hidden="1">
      <c r="A45" s="342" t="s">
        <v>483</v>
      </c>
      <c r="B45" s="325" t="s">
        <v>484</v>
      </c>
      <c r="C45" s="343">
        <v>120000</v>
      </c>
      <c r="D45" s="327" t="s">
        <v>158</v>
      </c>
      <c r="E45" s="327" t="s">
        <v>158</v>
      </c>
    </row>
    <row r="46" spans="1:5" ht="18.75" hidden="1">
      <c r="A46" s="342" t="s">
        <v>485</v>
      </c>
      <c r="B46" s="344" t="s">
        <v>486</v>
      </c>
      <c r="C46" s="343">
        <v>550000</v>
      </c>
      <c r="D46" s="327" t="s">
        <v>158</v>
      </c>
      <c r="E46" s="327" t="s">
        <v>158</v>
      </c>
    </row>
    <row r="47" spans="1:5" ht="18.75" hidden="1">
      <c r="A47" s="321" t="s">
        <v>487</v>
      </c>
      <c r="B47" s="325" t="s">
        <v>488</v>
      </c>
      <c r="C47" s="322">
        <v>5000</v>
      </c>
      <c r="D47" s="327" t="s">
        <v>158</v>
      </c>
      <c r="E47" s="327" t="s">
        <v>158</v>
      </c>
    </row>
    <row r="48" spans="1:5" ht="18.75" hidden="1">
      <c r="A48" s="321" t="s">
        <v>489</v>
      </c>
      <c r="B48" s="325" t="s">
        <v>490</v>
      </c>
      <c r="C48" s="322">
        <v>8000</v>
      </c>
      <c r="D48" s="327" t="s">
        <v>158</v>
      </c>
      <c r="E48" s="327" t="s">
        <v>158</v>
      </c>
    </row>
    <row r="49" spans="1:5" ht="18.75" hidden="1">
      <c r="A49" s="321" t="s">
        <v>491</v>
      </c>
      <c r="B49" s="337">
        <v>1013</v>
      </c>
      <c r="C49" s="322">
        <v>100000</v>
      </c>
      <c r="D49" s="327" t="s">
        <v>158</v>
      </c>
      <c r="E49" s="327" t="s">
        <v>158</v>
      </c>
    </row>
    <row r="50" spans="1:5" s="312" customFormat="1" ht="18.75" hidden="1">
      <c r="A50" s="321"/>
      <c r="B50" s="337"/>
      <c r="C50" s="322"/>
      <c r="D50" s="327"/>
      <c r="E50" s="327"/>
    </row>
    <row r="51" spans="1:5" ht="19.5" hidden="1" thickBot="1">
      <c r="A51" s="334" t="s">
        <v>0</v>
      </c>
      <c r="B51" s="340"/>
      <c r="C51" s="330">
        <f>SUM(C43:C50)</f>
        <v>5788000</v>
      </c>
      <c r="D51" s="346" t="s">
        <v>158</v>
      </c>
      <c r="E51" s="346" t="s">
        <v>158</v>
      </c>
    </row>
    <row r="52" spans="1:5" ht="18.75" hidden="1">
      <c r="A52" s="334" t="s">
        <v>492</v>
      </c>
      <c r="B52" s="334">
        <v>2000</v>
      </c>
      <c r="C52" s="331"/>
      <c r="D52" s="331"/>
      <c r="E52" s="331"/>
    </row>
    <row r="53" spans="1:5" ht="18.75" hidden="1">
      <c r="A53" s="342" t="s">
        <v>155</v>
      </c>
      <c r="B53" s="337">
        <v>2002</v>
      </c>
      <c r="C53" s="322">
        <v>1164000</v>
      </c>
      <c r="D53" s="327" t="s">
        <v>158</v>
      </c>
      <c r="E53" s="327" t="s">
        <v>158</v>
      </c>
    </row>
    <row r="54" spans="1:5" ht="18.75" hidden="1">
      <c r="A54" s="342" t="s">
        <v>493</v>
      </c>
      <c r="B54" s="337">
        <v>2003</v>
      </c>
      <c r="C54" s="322">
        <v>150000</v>
      </c>
      <c r="D54" s="327" t="s">
        <v>158</v>
      </c>
      <c r="E54" s="327" t="s">
        <v>158</v>
      </c>
    </row>
    <row r="55" spans="1:5" ht="19.5" hidden="1" thickBot="1">
      <c r="A55" s="334" t="s">
        <v>0</v>
      </c>
      <c r="B55" s="337"/>
      <c r="C55" s="330">
        <f>SUM(C52:C54)</f>
        <v>1314000</v>
      </c>
      <c r="D55" s="346" t="s">
        <v>158</v>
      </c>
      <c r="E55" s="346" t="s">
        <v>158</v>
      </c>
    </row>
    <row r="56" spans="1:5" ht="18.75" hidden="1">
      <c r="A56" s="334" t="s">
        <v>494</v>
      </c>
      <c r="B56" s="337"/>
      <c r="C56" s="322"/>
      <c r="D56" s="327"/>
      <c r="E56" s="327"/>
    </row>
    <row r="57" spans="1:5" ht="18.75" hidden="1">
      <c r="A57" s="342" t="s">
        <v>495</v>
      </c>
      <c r="B57" s="337" t="s">
        <v>470</v>
      </c>
      <c r="C57" s="322">
        <v>1136000</v>
      </c>
      <c r="D57" s="327" t="s">
        <v>158</v>
      </c>
      <c r="E57" s="327" t="s">
        <v>158</v>
      </c>
    </row>
    <row r="58" spans="1:5" ht="19.5" hidden="1" thickBot="1">
      <c r="A58" s="334" t="s">
        <v>0</v>
      </c>
      <c r="B58" s="337"/>
      <c r="C58" s="330">
        <f>SUM(C57)</f>
        <v>1136000</v>
      </c>
      <c r="D58" s="346" t="s">
        <v>158</v>
      </c>
      <c r="E58" s="346" t="s">
        <v>158</v>
      </c>
    </row>
    <row r="59" spans="1:5" ht="18.75" hidden="1">
      <c r="A59" s="334" t="s">
        <v>496</v>
      </c>
      <c r="B59" s="334">
        <v>3000</v>
      </c>
      <c r="C59" s="325"/>
      <c r="D59" s="327"/>
      <c r="E59" s="327"/>
    </row>
    <row r="60" spans="1:5" ht="18.75" hidden="1">
      <c r="A60" s="342" t="s">
        <v>497</v>
      </c>
      <c r="B60" s="337">
        <v>3002</v>
      </c>
      <c r="C60" s="325" t="s">
        <v>158</v>
      </c>
      <c r="D60" s="327" t="s">
        <v>158</v>
      </c>
      <c r="E60" s="327" t="s">
        <v>158</v>
      </c>
    </row>
    <row r="61" spans="1:5" ht="18.75" hidden="1">
      <c r="A61" s="342" t="s">
        <v>498</v>
      </c>
      <c r="B61" s="337">
        <v>3002</v>
      </c>
      <c r="C61" s="325" t="s">
        <v>158</v>
      </c>
      <c r="D61" s="327" t="s">
        <v>158</v>
      </c>
      <c r="E61" s="327" t="s">
        <v>158</v>
      </c>
    </row>
    <row r="62" spans="1:5" ht="18.75" hidden="1">
      <c r="A62" s="342" t="s">
        <v>499</v>
      </c>
      <c r="B62" s="337">
        <v>3002</v>
      </c>
      <c r="C62" s="325" t="s">
        <v>158</v>
      </c>
      <c r="D62" s="327" t="s">
        <v>158</v>
      </c>
      <c r="E62" s="327" t="s">
        <v>158</v>
      </c>
    </row>
    <row r="63" spans="1:5" ht="18.75" hidden="1">
      <c r="A63" s="342" t="s">
        <v>500</v>
      </c>
      <c r="B63" s="337">
        <v>3006</v>
      </c>
      <c r="C63" s="325" t="s">
        <v>158</v>
      </c>
      <c r="D63" s="327" t="s">
        <v>158</v>
      </c>
      <c r="E63" s="327" t="s">
        <v>158</v>
      </c>
    </row>
    <row r="64" spans="1:5" ht="19.5" hidden="1" thickBot="1">
      <c r="A64" s="334" t="s">
        <v>0</v>
      </c>
      <c r="B64" s="340"/>
      <c r="C64" s="411" t="s">
        <v>158</v>
      </c>
      <c r="D64" s="346" t="s">
        <v>158</v>
      </c>
      <c r="E64" s="346" t="s">
        <v>158</v>
      </c>
    </row>
    <row r="65" spans="1:5" ht="18.75" hidden="1">
      <c r="A65" s="334" t="s">
        <v>501</v>
      </c>
      <c r="B65" s="334">
        <v>900</v>
      </c>
      <c r="C65" s="331"/>
      <c r="D65" s="336"/>
      <c r="E65" s="331"/>
    </row>
    <row r="66" spans="1:5" s="312" customFormat="1" ht="18.75" hidden="1">
      <c r="A66" s="342" t="s">
        <v>157</v>
      </c>
      <c r="B66" s="337">
        <v>902</v>
      </c>
      <c r="C66" s="325" t="s">
        <v>158</v>
      </c>
      <c r="D66" s="322">
        <v>2487.72</v>
      </c>
      <c r="E66" s="322">
        <v>2487.72</v>
      </c>
    </row>
    <row r="67" spans="1:5" s="312" customFormat="1" ht="18.75" hidden="1">
      <c r="A67" s="342" t="s">
        <v>159</v>
      </c>
      <c r="B67" s="337">
        <v>903</v>
      </c>
      <c r="C67" s="325" t="s">
        <v>158</v>
      </c>
      <c r="D67" s="327" t="s">
        <v>158</v>
      </c>
      <c r="E67" s="327" t="s">
        <v>158</v>
      </c>
    </row>
    <row r="68" spans="1:5" s="312" customFormat="1" ht="18.75" hidden="1">
      <c r="A68" s="342" t="s">
        <v>257</v>
      </c>
      <c r="B68" s="337">
        <v>906</v>
      </c>
      <c r="C68" s="325" t="s">
        <v>158</v>
      </c>
      <c r="D68" s="322">
        <v>25.8</v>
      </c>
      <c r="E68" s="322">
        <v>25.8</v>
      </c>
    </row>
    <row r="69" spans="1:5" s="312" customFormat="1" ht="18.75" hidden="1">
      <c r="A69" s="342" t="s">
        <v>502</v>
      </c>
      <c r="B69" s="337">
        <v>907</v>
      </c>
      <c r="C69" s="325" t="s">
        <v>158</v>
      </c>
      <c r="D69" s="322">
        <v>30.96</v>
      </c>
      <c r="E69" s="322">
        <v>30.96</v>
      </c>
    </row>
    <row r="70" spans="1:5" s="312" customFormat="1" ht="19.5" hidden="1" thickBot="1">
      <c r="A70" s="334" t="s">
        <v>0</v>
      </c>
      <c r="B70" s="340"/>
      <c r="C70" s="411" t="s">
        <v>158</v>
      </c>
      <c r="D70" s="346">
        <f>SUM(D66:D69)</f>
        <v>2544.48</v>
      </c>
      <c r="E70" s="346">
        <f>SUM(E66:E69)</f>
        <v>2544.48</v>
      </c>
    </row>
    <row r="71" spans="1:6" s="312" customFormat="1" ht="24.75" customHeight="1" hidden="1">
      <c r="A71" s="145" t="s">
        <v>161</v>
      </c>
      <c r="B71" s="355"/>
      <c r="C71" s="347">
        <f>C16+C25+C30+C35+C51+C55+C58</f>
        <v>8404400</v>
      </c>
      <c r="D71" s="347">
        <f>D16+D25+D30+D70</f>
        <v>7147.280000000001</v>
      </c>
      <c r="E71" s="347">
        <f>E16+E25+E30+E70</f>
        <v>7147.280000000001</v>
      </c>
      <c r="F71" s="348"/>
    </row>
    <row r="72" ht="18.75" hidden="1">
      <c r="A72" s="356"/>
    </row>
    <row r="73" ht="18.75" hidden="1"/>
    <row r="74" ht="18.75" hidden="1"/>
    <row r="75" spans="1:5" ht="18.75" hidden="1">
      <c r="A75" s="810" t="s">
        <v>440</v>
      </c>
      <c r="B75" s="810"/>
      <c r="C75" s="810"/>
      <c r="D75" s="810"/>
      <c r="E75" s="810"/>
    </row>
    <row r="76" spans="1:5" ht="18.75" hidden="1">
      <c r="A76" s="810" t="s">
        <v>441</v>
      </c>
      <c r="B76" s="810"/>
      <c r="C76" s="810"/>
      <c r="D76" s="810"/>
      <c r="E76" s="810"/>
    </row>
    <row r="77" spans="1:5" ht="18.75" hidden="1">
      <c r="A77" s="811" t="s">
        <v>503</v>
      </c>
      <c r="B77" s="811"/>
      <c r="C77" s="811"/>
      <c r="D77" s="811"/>
      <c r="E77" s="811"/>
    </row>
    <row r="78" spans="1:5" ht="18.75" hidden="1">
      <c r="A78" s="316"/>
      <c r="B78" s="316"/>
      <c r="C78" s="316"/>
      <c r="D78" s="317"/>
      <c r="E78" s="317"/>
    </row>
    <row r="79" spans="1:5" ht="18.75" hidden="1">
      <c r="A79" s="316"/>
      <c r="B79" s="316"/>
      <c r="C79" s="316"/>
      <c r="D79" s="317"/>
      <c r="E79" s="317"/>
    </row>
    <row r="80" spans="1:5" ht="18.75" hidden="1">
      <c r="A80" s="315"/>
      <c r="B80" s="315"/>
      <c r="C80" s="315"/>
      <c r="D80" s="318"/>
      <c r="E80" s="318"/>
    </row>
    <row r="81" spans="1:5" ht="18.75" hidden="1">
      <c r="A81" s="807" t="s">
        <v>40</v>
      </c>
      <c r="B81" s="808"/>
      <c r="C81" s="808"/>
      <c r="D81" s="808"/>
      <c r="E81" s="809"/>
    </row>
    <row r="82" spans="1:5" ht="21" customHeight="1" hidden="1">
      <c r="A82" s="319" t="s">
        <v>35</v>
      </c>
      <c r="B82" s="319" t="s">
        <v>133</v>
      </c>
      <c r="C82" s="319" t="s">
        <v>22</v>
      </c>
      <c r="D82" s="345" t="s">
        <v>134</v>
      </c>
      <c r="E82" s="345" t="s">
        <v>135</v>
      </c>
    </row>
    <row r="83" spans="1:5" ht="21" customHeight="1" hidden="1">
      <c r="A83" s="320" t="s">
        <v>443</v>
      </c>
      <c r="B83" s="321"/>
      <c r="C83" s="321"/>
      <c r="D83" s="322"/>
      <c r="E83" s="322"/>
    </row>
    <row r="84" spans="1:5" ht="21" customHeight="1" hidden="1">
      <c r="A84" s="329" t="s">
        <v>444</v>
      </c>
      <c r="B84" s="351" t="s">
        <v>445</v>
      </c>
      <c r="C84" s="321"/>
      <c r="D84" s="322"/>
      <c r="E84" s="322"/>
    </row>
    <row r="85" spans="1:5" ht="18.75" hidden="1">
      <c r="A85" s="324" t="s">
        <v>446</v>
      </c>
      <c r="B85" s="325" t="s">
        <v>447</v>
      </c>
      <c r="C85" s="326">
        <v>35000</v>
      </c>
      <c r="D85" s="327" t="s">
        <v>158</v>
      </c>
      <c r="E85" s="327" t="s">
        <v>158</v>
      </c>
    </row>
    <row r="86" spans="1:5" ht="21" customHeight="1" hidden="1">
      <c r="A86" s="324" t="s">
        <v>448</v>
      </c>
      <c r="B86" s="325" t="s">
        <v>449</v>
      </c>
      <c r="C86" s="328">
        <v>38000</v>
      </c>
      <c r="D86" s="341">
        <v>257.21</v>
      </c>
      <c r="E86" s="341">
        <v>716.45</v>
      </c>
    </row>
    <row r="87" spans="1:5" ht="18.75" hidden="1">
      <c r="A87" s="324" t="s">
        <v>450</v>
      </c>
      <c r="B87" s="325" t="s">
        <v>451</v>
      </c>
      <c r="C87" s="328">
        <v>20000</v>
      </c>
      <c r="D87" s="327" t="s">
        <v>158</v>
      </c>
      <c r="E87" s="327" t="s">
        <v>158</v>
      </c>
    </row>
    <row r="88" spans="1:5" ht="18.75" hidden="1">
      <c r="A88" s="324" t="s">
        <v>452</v>
      </c>
      <c r="B88" s="325" t="s">
        <v>453</v>
      </c>
      <c r="C88" s="328">
        <v>10000</v>
      </c>
      <c r="D88" s="341">
        <v>144</v>
      </c>
      <c r="E88" s="341">
        <v>1074</v>
      </c>
    </row>
    <row r="89" spans="1:5" ht="18.75" hidden="1">
      <c r="A89" s="324"/>
      <c r="B89" s="325"/>
      <c r="C89" s="399"/>
      <c r="D89" s="400"/>
      <c r="E89" s="401"/>
    </row>
    <row r="90" spans="1:5" ht="19.5" hidden="1" thickBot="1">
      <c r="A90" s="329" t="s">
        <v>0</v>
      </c>
      <c r="B90" s="323"/>
      <c r="C90" s="402">
        <f>SUM(C85:C89)</f>
        <v>103000</v>
      </c>
      <c r="D90" s="403">
        <f>SUM(D86:D89)</f>
        <v>401.21</v>
      </c>
      <c r="E90" s="402">
        <f>SUM(E86:E89)</f>
        <v>1790.45</v>
      </c>
    </row>
    <row r="91" spans="1:5" ht="18.75" hidden="1">
      <c r="A91" s="329"/>
      <c r="B91" s="323"/>
      <c r="C91" s="331"/>
      <c r="D91" s="331"/>
      <c r="E91" s="331"/>
    </row>
    <row r="92" spans="1:5" ht="18.75" hidden="1">
      <c r="A92" s="329" t="s">
        <v>454</v>
      </c>
      <c r="B92" s="351" t="s">
        <v>455</v>
      </c>
      <c r="C92" s="321"/>
      <c r="D92" s="322"/>
      <c r="E92" s="322"/>
    </row>
    <row r="93" spans="1:5" ht="18.75" hidden="1">
      <c r="A93" s="324" t="s">
        <v>457</v>
      </c>
      <c r="B93" s="325" t="s">
        <v>456</v>
      </c>
      <c r="C93" s="332">
        <v>3000</v>
      </c>
      <c r="D93" s="341">
        <v>180</v>
      </c>
      <c r="E93" s="341">
        <v>1854</v>
      </c>
    </row>
    <row r="94" spans="1:5" ht="18.75" hidden="1">
      <c r="A94" s="404" t="s">
        <v>458</v>
      </c>
      <c r="B94" s="325" t="s">
        <v>459</v>
      </c>
      <c r="C94" s="325" t="s">
        <v>158</v>
      </c>
      <c r="D94" s="327" t="s">
        <v>158</v>
      </c>
      <c r="E94" s="327" t="s">
        <v>158</v>
      </c>
    </row>
    <row r="95" spans="1:5" ht="18.75" hidden="1">
      <c r="A95" s="324" t="s">
        <v>460</v>
      </c>
      <c r="B95" s="325" t="s">
        <v>461</v>
      </c>
      <c r="C95" s="325" t="s">
        <v>158</v>
      </c>
      <c r="D95" s="341">
        <v>16100</v>
      </c>
      <c r="E95" s="341">
        <v>17300</v>
      </c>
    </row>
    <row r="96" spans="1:5" ht="18.75" hidden="1">
      <c r="A96" s="404" t="s">
        <v>462</v>
      </c>
      <c r="B96" s="325" t="s">
        <v>463</v>
      </c>
      <c r="C96" s="322">
        <v>400</v>
      </c>
      <c r="D96" s="327" t="s">
        <v>158</v>
      </c>
      <c r="E96" s="327" t="s">
        <v>158</v>
      </c>
    </row>
    <row r="97" spans="1:5" ht="18.75" hidden="1">
      <c r="A97" s="324" t="s">
        <v>464</v>
      </c>
      <c r="B97" s="325" t="s">
        <v>465</v>
      </c>
      <c r="C97" s="322">
        <v>5000</v>
      </c>
      <c r="D97" s="327" t="s">
        <v>158</v>
      </c>
      <c r="E97" s="341">
        <v>300</v>
      </c>
    </row>
    <row r="98" spans="1:5" ht="18.75" hidden="1">
      <c r="A98" s="324" t="s">
        <v>504</v>
      </c>
      <c r="B98" s="325" t="s">
        <v>505</v>
      </c>
      <c r="C98" s="325" t="s">
        <v>158</v>
      </c>
      <c r="D98" s="341">
        <v>4000</v>
      </c>
      <c r="E98" s="341">
        <v>4000</v>
      </c>
    </row>
    <row r="99" spans="1:5" ht="18.75" hidden="1">
      <c r="A99" s="404"/>
      <c r="B99" s="325"/>
      <c r="C99" s="322"/>
      <c r="D99" s="327"/>
      <c r="E99" s="327"/>
    </row>
    <row r="100" spans="1:5" ht="19.5" hidden="1" thickBot="1">
      <c r="A100" s="329" t="s">
        <v>0</v>
      </c>
      <c r="B100" s="333"/>
      <c r="C100" s="330">
        <f>SUM(C93:C99)</f>
        <v>8400</v>
      </c>
      <c r="D100" s="335">
        <f>SUM(D93:D99)</f>
        <v>20280</v>
      </c>
      <c r="E100" s="330">
        <f>SUM(E93:E99)</f>
        <v>23454</v>
      </c>
    </row>
    <row r="101" spans="1:5" ht="19.5" hidden="1" thickTop="1">
      <c r="A101" s="323"/>
      <c r="B101" s="325"/>
      <c r="C101" s="405"/>
      <c r="E101" s="406"/>
    </row>
    <row r="102" spans="1:5" ht="18.75" hidden="1">
      <c r="A102" s="329" t="s">
        <v>466</v>
      </c>
      <c r="B102" s="351" t="s">
        <v>467</v>
      </c>
      <c r="C102" s="405"/>
      <c r="E102" s="322"/>
    </row>
    <row r="103" spans="1:5" ht="18.75" hidden="1">
      <c r="A103" s="321" t="s">
        <v>468</v>
      </c>
      <c r="B103" s="325" t="s">
        <v>469</v>
      </c>
      <c r="C103" s="322">
        <v>5000</v>
      </c>
      <c r="D103" s="327" t="s">
        <v>158</v>
      </c>
      <c r="E103" s="341">
        <v>39.56</v>
      </c>
    </row>
    <row r="104" spans="1:5" ht="18.75" hidden="1">
      <c r="A104" s="321"/>
      <c r="B104" s="325"/>
      <c r="C104" s="322"/>
      <c r="D104" s="322"/>
      <c r="E104" s="322"/>
    </row>
    <row r="105" spans="1:5" ht="19.5" hidden="1" thickBot="1">
      <c r="A105" s="334" t="s">
        <v>0</v>
      </c>
      <c r="B105" s="334"/>
      <c r="C105" s="330">
        <f>SUM(C103:C104)</f>
        <v>5000</v>
      </c>
      <c r="D105" s="335">
        <v>0</v>
      </c>
      <c r="E105" s="330">
        <f>SUM(E103:E104)</f>
        <v>39.56</v>
      </c>
    </row>
    <row r="106" spans="1:5" ht="19.5" hidden="1" thickTop="1">
      <c r="A106" s="329"/>
      <c r="B106" s="334"/>
      <c r="C106" s="331"/>
      <c r="E106" s="406"/>
    </row>
    <row r="107" spans="1:5" ht="18.75" hidden="1">
      <c r="A107" s="329" t="s">
        <v>471</v>
      </c>
      <c r="B107" s="351" t="s">
        <v>472</v>
      </c>
      <c r="C107" s="322"/>
      <c r="E107" s="322"/>
    </row>
    <row r="108" spans="1:5" ht="18.75" hidden="1">
      <c r="A108" s="324" t="s">
        <v>473</v>
      </c>
      <c r="B108" s="325" t="s">
        <v>474</v>
      </c>
      <c r="C108" s="322">
        <v>50000</v>
      </c>
      <c r="D108" s="327" t="s">
        <v>158</v>
      </c>
      <c r="E108" s="327" t="s">
        <v>158</v>
      </c>
    </row>
    <row r="109" spans="1:5" ht="18.75" hidden="1">
      <c r="A109" s="404"/>
      <c r="B109" s="325"/>
      <c r="C109" s="322"/>
      <c r="D109" s="400"/>
      <c r="E109" s="400"/>
    </row>
    <row r="110" spans="1:5" ht="19.5" hidden="1" thickBot="1">
      <c r="A110" s="319" t="s">
        <v>0</v>
      </c>
      <c r="B110" s="338"/>
      <c r="C110" s="330">
        <f>SUM(C108:C109)</f>
        <v>50000</v>
      </c>
      <c r="D110" s="335">
        <v>0</v>
      </c>
      <c r="E110" s="335">
        <v>0</v>
      </c>
    </row>
    <row r="111" spans="2:5" ht="18.75" hidden="1">
      <c r="B111" s="407"/>
      <c r="C111" s="408"/>
      <c r="D111" s="409"/>
      <c r="E111" s="317"/>
    </row>
    <row r="112" spans="2:5" ht="18.75" hidden="1">
      <c r="B112" s="356"/>
      <c r="C112" s="410"/>
      <c r="D112" s="409"/>
      <c r="E112" s="317"/>
    </row>
    <row r="113" spans="1:5" ht="18.75" hidden="1">
      <c r="A113" s="812" t="s">
        <v>475</v>
      </c>
      <c r="B113" s="813"/>
      <c r="C113" s="813"/>
      <c r="D113" s="813"/>
      <c r="E113" s="813"/>
    </row>
    <row r="114" spans="1:5" ht="18.75" hidden="1">
      <c r="A114" s="807" t="s">
        <v>40</v>
      </c>
      <c r="B114" s="808"/>
      <c r="C114" s="808"/>
      <c r="D114" s="808"/>
      <c r="E114" s="809"/>
    </row>
    <row r="115" spans="1:5" ht="18.75" hidden="1">
      <c r="A115" s="145" t="s">
        <v>35</v>
      </c>
      <c r="B115" s="319" t="s">
        <v>133</v>
      </c>
      <c r="C115" s="319" t="s">
        <v>22</v>
      </c>
      <c r="D115" s="345" t="s">
        <v>134</v>
      </c>
      <c r="E115" s="345" t="s">
        <v>135</v>
      </c>
    </row>
    <row r="116" spans="1:5" ht="18.75" hidden="1">
      <c r="A116" s="339" t="s">
        <v>476</v>
      </c>
      <c r="B116" s="321"/>
      <c r="C116" s="321"/>
      <c r="D116" s="322"/>
      <c r="E116" s="350"/>
    </row>
    <row r="117" spans="1:5" ht="21" customHeight="1" hidden="1">
      <c r="A117" s="334" t="s">
        <v>477</v>
      </c>
      <c r="B117" s="351" t="s">
        <v>478</v>
      </c>
      <c r="C117" s="321"/>
      <c r="D117" s="322"/>
      <c r="E117" s="322"/>
    </row>
    <row r="118" spans="1:5" ht="18.75" hidden="1">
      <c r="A118" s="321" t="s">
        <v>479</v>
      </c>
      <c r="B118" s="325" t="s">
        <v>480</v>
      </c>
      <c r="C118" s="332">
        <v>5000000</v>
      </c>
      <c r="D118" s="327" t="s">
        <v>158</v>
      </c>
      <c r="E118" s="327" t="s">
        <v>158</v>
      </c>
    </row>
    <row r="119" spans="1:5" ht="18.75" hidden="1">
      <c r="A119" s="321" t="s">
        <v>481</v>
      </c>
      <c r="B119" s="325" t="s">
        <v>482</v>
      </c>
      <c r="C119" s="341">
        <v>5000</v>
      </c>
      <c r="D119" s="327" t="s">
        <v>158</v>
      </c>
      <c r="E119" s="327" t="s">
        <v>158</v>
      </c>
    </row>
    <row r="120" spans="1:5" ht="21" customHeight="1" hidden="1">
      <c r="A120" s="342" t="s">
        <v>483</v>
      </c>
      <c r="B120" s="325" t="s">
        <v>484</v>
      </c>
      <c r="C120" s="343">
        <v>120000</v>
      </c>
      <c r="D120" s="327" t="s">
        <v>158</v>
      </c>
      <c r="E120" s="327" t="s">
        <v>158</v>
      </c>
    </row>
    <row r="121" spans="1:5" ht="18.75" hidden="1">
      <c r="A121" s="342" t="s">
        <v>485</v>
      </c>
      <c r="B121" s="344" t="s">
        <v>486</v>
      </c>
      <c r="C121" s="343">
        <v>550000</v>
      </c>
      <c r="D121" s="327" t="s">
        <v>158</v>
      </c>
      <c r="E121" s="327" t="s">
        <v>158</v>
      </c>
    </row>
    <row r="122" spans="1:5" ht="18.75" hidden="1">
      <c r="A122" s="321" t="s">
        <v>487</v>
      </c>
      <c r="B122" s="325" t="s">
        <v>488</v>
      </c>
      <c r="C122" s="322">
        <v>5000</v>
      </c>
      <c r="D122" s="327" t="s">
        <v>158</v>
      </c>
      <c r="E122" s="327" t="s">
        <v>158</v>
      </c>
    </row>
    <row r="123" spans="1:5" ht="18.75" hidden="1">
      <c r="A123" s="321" t="s">
        <v>489</v>
      </c>
      <c r="B123" s="325" t="s">
        <v>490</v>
      </c>
      <c r="C123" s="322">
        <v>8000</v>
      </c>
      <c r="D123" s="327" t="s">
        <v>158</v>
      </c>
      <c r="E123" s="327" t="s">
        <v>158</v>
      </c>
    </row>
    <row r="124" spans="1:5" ht="18.75" hidden="1">
      <c r="A124" s="321" t="s">
        <v>491</v>
      </c>
      <c r="B124" s="337">
        <v>1013</v>
      </c>
      <c r="C124" s="322">
        <v>100000</v>
      </c>
      <c r="D124" s="341">
        <v>10156</v>
      </c>
      <c r="E124" s="341">
        <v>10156</v>
      </c>
    </row>
    <row r="125" spans="1:5" ht="18.75" hidden="1">
      <c r="A125" s="321"/>
      <c r="B125" s="337"/>
      <c r="C125" s="322"/>
      <c r="D125" s="327"/>
      <c r="E125" s="327"/>
    </row>
    <row r="126" spans="1:5" ht="19.5" hidden="1" thickBot="1">
      <c r="A126" s="334" t="s">
        <v>0</v>
      </c>
      <c r="B126" s="340"/>
      <c r="C126" s="330">
        <f>SUM(C118:C125)</f>
        <v>5788000</v>
      </c>
      <c r="D126" s="346">
        <f>SUM(D124:D125)</f>
        <v>10156</v>
      </c>
      <c r="E126" s="346">
        <f>SUM(E124:E125)</f>
        <v>10156</v>
      </c>
    </row>
    <row r="127" spans="1:5" ht="18.75" hidden="1">
      <c r="A127" s="334" t="s">
        <v>492</v>
      </c>
      <c r="B127" s="334">
        <v>2000</v>
      </c>
      <c r="C127" s="331"/>
      <c r="D127" s="331"/>
      <c r="E127" s="331"/>
    </row>
    <row r="128" spans="1:5" ht="18.75" hidden="1">
      <c r="A128" s="342" t="s">
        <v>155</v>
      </c>
      <c r="B128" s="337">
        <v>2002</v>
      </c>
      <c r="C128" s="322">
        <v>1164000</v>
      </c>
      <c r="D128" s="327" t="s">
        <v>158</v>
      </c>
      <c r="E128" s="327" t="s">
        <v>158</v>
      </c>
    </row>
    <row r="129" spans="1:5" ht="18.75" hidden="1">
      <c r="A129" s="342" t="s">
        <v>493</v>
      </c>
      <c r="B129" s="337">
        <v>2003</v>
      </c>
      <c r="C129" s="322">
        <v>150000</v>
      </c>
      <c r="D129" s="327" t="s">
        <v>158</v>
      </c>
      <c r="E129" s="327" t="s">
        <v>158</v>
      </c>
    </row>
    <row r="130" spans="1:5" ht="19.5" hidden="1" thickBot="1">
      <c r="A130" s="334" t="s">
        <v>0</v>
      </c>
      <c r="B130" s="337"/>
      <c r="C130" s="330">
        <f>SUM(C127:C129)</f>
        <v>1314000</v>
      </c>
      <c r="D130" s="346" t="s">
        <v>158</v>
      </c>
      <c r="E130" s="346" t="s">
        <v>158</v>
      </c>
    </row>
    <row r="131" spans="1:5" ht="18.75" hidden="1">
      <c r="A131" s="334" t="s">
        <v>494</v>
      </c>
      <c r="B131" s="337"/>
      <c r="C131" s="322"/>
      <c r="D131" s="327"/>
      <c r="E131" s="327"/>
    </row>
    <row r="132" spans="1:5" ht="18.75" hidden="1">
      <c r="A132" s="342" t="s">
        <v>495</v>
      </c>
      <c r="B132" s="337" t="s">
        <v>470</v>
      </c>
      <c r="C132" s="322">
        <v>1136000</v>
      </c>
      <c r="D132" s="327" t="s">
        <v>158</v>
      </c>
      <c r="E132" s="327" t="s">
        <v>158</v>
      </c>
    </row>
    <row r="133" spans="1:5" ht="19.5" hidden="1" thickBot="1">
      <c r="A133" s="334" t="s">
        <v>0</v>
      </c>
      <c r="B133" s="337"/>
      <c r="C133" s="330">
        <f>SUM(C132)</f>
        <v>1136000</v>
      </c>
      <c r="D133" s="346" t="s">
        <v>158</v>
      </c>
      <c r="E133" s="346" t="s">
        <v>158</v>
      </c>
    </row>
    <row r="134" spans="1:5" ht="18.75" hidden="1">
      <c r="A134" s="334" t="s">
        <v>496</v>
      </c>
      <c r="B134" s="334">
        <v>3000</v>
      </c>
      <c r="C134" s="325"/>
      <c r="D134" s="327"/>
      <c r="E134" s="327"/>
    </row>
    <row r="135" spans="1:5" ht="18.75" hidden="1">
      <c r="A135" s="342" t="s">
        <v>497</v>
      </c>
      <c r="B135" s="337">
        <v>3002</v>
      </c>
      <c r="C135" s="325" t="s">
        <v>158</v>
      </c>
      <c r="D135" s="341">
        <v>121325</v>
      </c>
      <c r="E135" s="341">
        <v>121325</v>
      </c>
    </row>
    <row r="136" spans="1:5" ht="18.75" hidden="1">
      <c r="A136" s="342" t="s">
        <v>498</v>
      </c>
      <c r="B136" s="337">
        <v>3002</v>
      </c>
      <c r="C136" s="325" t="s">
        <v>158</v>
      </c>
      <c r="D136" s="341">
        <v>121000</v>
      </c>
      <c r="E136" s="341">
        <v>121000</v>
      </c>
    </row>
    <row r="137" spans="1:5" ht="18.75" hidden="1">
      <c r="A137" s="342" t="s">
        <v>499</v>
      </c>
      <c r="B137" s="337">
        <v>3002</v>
      </c>
      <c r="C137" s="325" t="s">
        <v>158</v>
      </c>
      <c r="D137" s="327" t="s">
        <v>158</v>
      </c>
      <c r="E137" s="327" t="s">
        <v>158</v>
      </c>
    </row>
    <row r="138" spans="1:5" ht="18.75" hidden="1">
      <c r="A138" s="342" t="s">
        <v>500</v>
      </c>
      <c r="B138" s="337">
        <v>3006</v>
      </c>
      <c r="C138" s="325" t="s">
        <v>158</v>
      </c>
      <c r="D138" s="327" t="s">
        <v>158</v>
      </c>
      <c r="E138" s="327" t="s">
        <v>158</v>
      </c>
    </row>
    <row r="139" spans="1:5" ht="19.5" hidden="1" thickBot="1">
      <c r="A139" s="334" t="s">
        <v>0</v>
      </c>
      <c r="B139" s="340"/>
      <c r="C139" s="411" t="s">
        <v>158</v>
      </c>
      <c r="D139" s="346">
        <f>SUM(D135:D138)</f>
        <v>242325</v>
      </c>
      <c r="E139" s="346">
        <f>SUM(E135:E138)</f>
        <v>242325</v>
      </c>
    </row>
    <row r="140" spans="1:5" ht="18.75" hidden="1">
      <c r="A140" s="334" t="s">
        <v>501</v>
      </c>
      <c r="B140" s="334">
        <v>900</v>
      </c>
      <c r="C140" s="331"/>
      <c r="D140" s="336"/>
      <c r="E140" s="331"/>
    </row>
    <row r="141" spans="1:5" ht="18.75" hidden="1">
      <c r="A141" s="342" t="s">
        <v>157</v>
      </c>
      <c r="B141" s="337">
        <v>902</v>
      </c>
      <c r="C141" s="325" t="s">
        <v>158</v>
      </c>
      <c r="D141" s="322">
        <v>11794.52</v>
      </c>
      <c r="E141" s="322">
        <v>14282.24</v>
      </c>
    </row>
    <row r="142" spans="1:5" ht="18.75" hidden="1">
      <c r="A142" s="342" t="s">
        <v>159</v>
      </c>
      <c r="B142" s="337">
        <v>903</v>
      </c>
      <c r="C142" s="325" t="s">
        <v>158</v>
      </c>
      <c r="D142" s="327" t="s">
        <v>158</v>
      </c>
      <c r="E142" s="327" t="s">
        <v>158</v>
      </c>
    </row>
    <row r="143" spans="1:5" ht="18.75" hidden="1">
      <c r="A143" s="342" t="s">
        <v>257</v>
      </c>
      <c r="B143" s="337">
        <v>906</v>
      </c>
      <c r="C143" s="325" t="s">
        <v>158</v>
      </c>
      <c r="D143" s="322">
        <v>14.45</v>
      </c>
      <c r="E143" s="322">
        <v>40.25</v>
      </c>
    </row>
    <row r="144" spans="1:5" ht="18.75" hidden="1">
      <c r="A144" s="342" t="s">
        <v>502</v>
      </c>
      <c r="B144" s="337">
        <v>907</v>
      </c>
      <c r="C144" s="325" t="s">
        <v>158</v>
      </c>
      <c r="D144" s="322">
        <v>17.34</v>
      </c>
      <c r="E144" s="322">
        <v>48.3</v>
      </c>
    </row>
    <row r="145" spans="1:5" ht="19.5" hidden="1" thickBot="1">
      <c r="A145" s="334" t="s">
        <v>0</v>
      </c>
      <c r="B145" s="340"/>
      <c r="C145" s="411" t="s">
        <v>158</v>
      </c>
      <c r="D145" s="346">
        <f>SUM(D141:D144)</f>
        <v>11826.310000000001</v>
      </c>
      <c r="E145" s="346">
        <f>SUM(E141:E144)</f>
        <v>14370.789999999999</v>
      </c>
    </row>
    <row r="146" spans="1:5" ht="20.25" hidden="1" thickBot="1" thickTop="1">
      <c r="A146" s="145" t="s">
        <v>161</v>
      </c>
      <c r="B146" s="355"/>
      <c r="C146" s="347">
        <f>C90+C100+C105+C110+C126+C130+C133</f>
        <v>8404400</v>
      </c>
      <c r="D146" s="347">
        <f>D90++D100+D126+D139+D145</f>
        <v>284988.52</v>
      </c>
      <c r="E146" s="347">
        <f>E90+E100+E105+E126+E139+E145</f>
        <v>292135.8</v>
      </c>
    </row>
    <row r="147" ht="18.75" hidden="1">
      <c r="A147" s="356"/>
    </row>
    <row r="148" spans="1:5" ht="18.75" hidden="1">
      <c r="A148" s="810" t="s">
        <v>440</v>
      </c>
      <c r="B148" s="810"/>
      <c r="C148" s="810"/>
      <c r="D148" s="810"/>
      <c r="E148" s="810"/>
    </row>
    <row r="149" spans="1:5" ht="18.75" hidden="1">
      <c r="A149" s="810" t="s">
        <v>441</v>
      </c>
      <c r="B149" s="810"/>
      <c r="C149" s="810"/>
      <c r="D149" s="810"/>
      <c r="E149" s="810"/>
    </row>
    <row r="150" spans="1:5" ht="18.75" hidden="1">
      <c r="A150" s="811" t="s">
        <v>506</v>
      </c>
      <c r="B150" s="811"/>
      <c r="C150" s="811"/>
      <c r="D150" s="811"/>
      <c r="E150" s="811"/>
    </row>
    <row r="151" spans="1:5" ht="18.75" hidden="1">
      <c r="A151" s="316"/>
      <c r="B151" s="316"/>
      <c r="C151" s="316"/>
      <c r="D151" s="317"/>
      <c r="E151" s="317"/>
    </row>
    <row r="152" spans="1:5" ht="18.75" hidden="1">
      <c r="A152" s="316"/>
      <c r="B152" s="316"/>
      <c r="C152" s="316"/>
      <c r="D152" s="317"/>
      <c r="E152" s="317"/>
    </row>
    <row r="153" spans="1:5" ht="18.75" hidden="1">
      <c r="A153" s="315"/>
      <c r="B153" s="315"/>
      <c r="C153" s="315"/>
      <c r="D153" s="318"/>
      <c r="E153" s="318"/>
    </row>
    <row r="154" spans="1:5" ht="18.75" hidden="1">
      <c r="A154" s="807" t="s">
        <v>40</v>
      </c>
      <c r="B154" s="808"/>
      <c r="C154" s="808"/>
      <c r="D154" s="808"/>
      <c r="E154" s="809"/>
    </row>
    <row r="155" spans="1:5" ht="18.75" hidden="1">
      <c r="A155" s="319" t="s">
        <v>35</v>
      </c>
      <c r="B155" s="319" t="s">
        <v>133</v>
      </c>
      <c r="C155" s="319" t="s">
        <v>22</v>
      </c>
      <c r="D155" s="345" t="s">
        <v>134</v>
      </c>
      <c r="E155" s="345" t="s">
        <v>135</v>
      </c>
    </row>
    <row r="156" spans="1:5" ht="18.75" hidden="1">
      <c r="A156" s="320" t="s">
        <v>443</v>
      </c>
      <c r="B156" s="321"/>
      <c r="C156" s="321"/>
      <c r="D156" s="322"/>
      <c r="E156" s="322"/>
    </row>
    <row r="157" spans="1:5" ht="18.75" hidden="1">
      <c r="A157" s="329" t="s">
        <v>444</v>
      </c>
      <c r="B157" s="351" t="s">
        <v>445</v>
      </c>
      <c r="C157" s="321"/>
      <c r="D157" s="322"/>
      <c r="E157" s="322"/>
    </row>
    <row r="158" spans="1:5" ht="18.75" hidden="1">
      <c r="A158" s="324" t="s">
        <v>446</v>
      </c>
      <c r="B158" s="325" t="s">
        <v>447</v>
      </c>
      <c r="C158" s="326">
        <v>35000</v>
      </c>
      <c r="D158" s="327" t="s">
        <v>158</v>
      </c>
      <c r="E158" s="327" t="s">
        <v>158</v>
      </c>
    </row>
    <row r="159" spans="1:5" ht="18.75" hidden="1">
      <c r="A159" s="324" t="s">
        <v>448</v>
      </c>
      <c r="B159" s="325" t="s">
        <v>449</v>
      </c>
      <c r="C159" s="328">
        <v>38000</v>
      </c>
      <c r="D159" s="327" t="s">
        <v>158</v>
      </c>
      <c r="E159" s="341">
        <v>716.45</v>
      </c>
    </row>
    <row r="160" spans="1:5" ht="18.75" hidden="1">
      <c r="A160" s="324" t="s">
        <v>450</v>
      </c>
      <c r="B160" s="325" t="s">
        <v>451</v>
      </c>
      <c r="C160" s="328">
        <v>20000</v>
      </c>
      <c r="D160" s="327" t="s">
        <v>158</v>
      </c>
      <c r="E160" s="327" t="s">
        <v>158</v>
      </c>
    </row>
    <row r="161" spans="1:5" ht="18.75" hidden="1">
      <c r="A161" s="324" t="s">
        <v>452</v>
      </c>
      <c r="B161" s="325" t="s">
        <v>453</v>
      </c>
      <c r="C161" s="328">
        <v>10000</v>
      </c>
      <c r="D161" s="341">
        <v>334</v>
      </c>
      <c r="E161" s="341">
        <v>1408</v>
      </c>
    </row>
    <row r="162" spans="1:5" ht="18.75" hidden="1">
      <c r="A162" s="324"/>
      <c r="B162" s="325"/>
      <c r="C162" s="399"/>
      <c r="D162" s="400"/>
      <c r="E162" s="401"/>
    </row>
    <row r="163" spans="1:5" ht="19.5" hidden="1" thickBot="1">
      <c r="A163" s="329" t="s">
        <v>0</v>
      </c>
      <c r="B163" s="323"/>
      <c r="C163" s="402">
        <f>SUM(C158:C162)</f>
        <v>103000</v>
      </c>
      <c r="D163" s="403">
        <f>SUM(D159:D162)</f>
        <v>334</v>
      </c>
      <c r="E163" s="402">
        <f>SUM(E159:E162)</f>
        <v>2124.45</v>
      </c>
    </row>
    <row r="164" spans="1:5" ht="18.75" hidden="1">
      <c r="A164" s="329"/>
      <c r="B164" s="323"/>
      <c r="C164" s="331"/>
      <c r="D164" s="331"/>
      <c r="E164" s="331"/>
    </row>
    <row r="165" spans="1:5" ht="18.75" hidden="1">
      <c r="A165" s="329" t="s">
        <v>454</v>
      </c>
      <c r="B165" s="351" t="s">
        <v>455</v>
      </c>
      <c r="C165" s="321"/>
      <c r="D165" s="322"/>
      <c r="E165" s="322"/>
    </row>
    <row r="166" spans="1:5" ht="18.75" hidden="1">
      <c r="A166" s="324" t="s">
        <v>457</v>
      </c>
      <c r="B166" s="325" t="s">
        <v>456</v>
      </c>
      <c r="C166" s="332">
        <v>3000</v>
      </c>
      <c r="D166" s="341">
        <v>555</v>
      </c>
      <c r="E166" s="341">
        <v>2409</v>
      </c>
    </row>
    <row r="167" spans="1:5" ht="18.75" hidden="1">
      <c r="A167" s="404" t="s">
        <v>458</v>
      </c>
      <c r="B167" s="325" t="s">
        <v>459</v>
      </c>
      <c r="C167" s="325" t="s">
        <v>158</v>
      </c>
      <c r="D167" s="327" t="s">
        <v>158</v>
      </c>
      <c r="E167" s="327" t="s">
        <v>158</v>
      </c>
    </row>
    <row r="168" spans="1:5" ht="18.75" hidden="1">
      <c r="A168" s="324" t="s">
        <v>460</v>
      </c>
      <c r="B168" s="325" t="s">
        <v>461</v>
      </c>
      <c r="C168" s="325" t="s">
        <v>158</v>
      </c>
      <c r="D168" s="327" t="s">
        <v>158</v>
      </c>
      <c r="E168" s="341">
        <v>17300</v>
      </c>
    </row>
    <row r="169" spans="1:5" ht="18.75" hidden="1">
      <c r="A169" s="404" t="s">
        <v>462</v>
      </c>
      <c r="B169" s="325" t="s">
        <v>463</v>
      </c>
      <c r="C169" s="322">
        <v>400</v>
      </c>
      <c r="D169" s="327" t="s">
        <v>158</v>
      </c>
      <c r="E169" s="327" t="s">
        <v>158</v>
      </c>
    </row>
    <row r="170" spans="1:5" ht="18.75" hidden="1">
      <c r="A170" s="324" t="s">
        <v>464</v>
      </c>
      <c r="B170" s="325" t="s">
        <v>465</v>
      </c>
      <c r="C170" s="322">
        <v>5000</v>
      </c>
      <c r="D170" s="327" t="s">
        <v>158</v>
      </c>
      <c r="E170" s="341">
        <v>300</v>
      </c>
    </row>
    <row r="171" spans="1:5" ht="18.75" hidden="1">
      <c r="A171" s="324" t="s">
        <v>504</v>
      </c>
      <c r="B171" s="325" t="s">
        <v>505</v>
      </c>
      <c r="C171" s="325" t="s">
        <v>158</v>
      </c>
      <c r="D171" s="327" t="s">
        <v>158</v>
      </c>
      <c r="E171" s="341">
        <v>4000</v>
      </c>
    </row>
    <row r="172" spans="1:5" ht="18.75" hidden="1">
      <c r="A172" s="404"/>
      <c r="B172" s="325"/>
      <c r="C172" s="322"/>
      <c r="D172" s="327"/>
      <c r="E172" s="327"/>
    </row>
    <row r="173" spans="1:5" ht="19.5" hidden="1" thickBot="1">
      <c r="A173" s="329" t="s">
        <v>0</v>
      </c>
      <c r="B173" s="333"/>
      <c r="C173" s="330">
        <f>SUM(C166:C172)</f>
        <v>8400</v>
      </c>
      <c r="D173" s="335">
        <f>SUM(D166:D172)</f>
        <v>555</v>
      </c>
      <c r="E173" s="330">
        <f>SUM(E166:E172)</f>
        <v>24009</v>
      </c>
    </row>
    <row r="174" spans="1:5" ht="19.5" hidden="1" thickTop="1">
      <c r="A174" s="323"/>
      <c r="B174" s="325"/>
      <c r="C174" s="405"/>
      <c r="E174" s="406"/>
    </row>
    <row r="175" spans="1:5" ht="18.75" hidden="1">
      <c r="A175" s="329" t="s">
        <v>466</v>
      </c>
      <c r="B175" s="351" t="s">
        <v>467</v>
      </c>
      <c r="C175" s="405"/>
      <c r="E175" s="322"/>
    </row>
    <row r="176" spans="1:5" ht="18.75" hidden="1">
      <c r="A176" s="321" t="s">
        <v>468</v>
      </c>
      <c r="B176" s="325" t="s">
        <v>469</v>
      </c>
      <c r="C176" s="322">
        <v>5000</v>
      </c>
      <c r="D176" s="327" t="s">
        <v>158</v>
      </c>
      <c r="E176" s="341">
        <v>39.56</v>
      </c>
    </row>
    <row r="177" spans="1:5" ht="18.75" hidden="1">
      <c r="A177" s="321"/>
      <c r="B177" s="325"/>
      <c r="C177" s="322"/>
      <c r="D177" s="322"/>
      <c r="E177" s="322"/>
    </row>
    <row r="178" spans="1:5" ht="19.5" hidden="1" thickBot="1">
      <c r="A178" s="334" t="s">
        <v>0</v>
      </c>
      <c r="B178" s="334"/>
      <c r="C178" s="330">
        <f>SUM(C176:C177)</f>
        <v>5000</v>
      </c>
      <c r="D178" s="335">
        <v>0</v>
      </c>
      <c r="E178" s="330">
        <f>SUM(E176:E177)</f>
        <v>39.56</v>
      </c>
    </row>
    <row r="179" spans="1:5" ht="19.5" hidden="1" thickTop="1">
      <c r="A179" s="329"/>
      <c r="B179" s="334"/>
      <c r="C179" s="331"/>
      <c r="E179" s="406"/>
    </row>
    <row r="180" spans="1:5" ht="18.75" hidden="1">
      <c r="A180" s="329" t="s">
        <v>471</v>
      </c>
      <c r="B180" s="351" t="s">
        <v>472</v>
      </c>
      <c r="C180" s="322"/>
      <c r="E180" s="322"/>
    </row>
    <row r="181" spans="1:5" ht="18.75" hidden="1">
      <c r="A181" s="324" t="s">
        <v>473</v>
      </c>
      <c r="B181" s="325" t="s">
        <v>474</v>
      </c>
      <c r="C181" s="322">
        <v>50000</v>
      </c>
      <c r="D181" s="327" t="s">
        <v>158</v>
      </c>
      <c r="E181" s="327" t="s">
        <v>158</v>
      </c>
    </row>
    <row r="182" spans="1:5" ht="18.75" hidden="1">
      <c r="A182" s="404"/>
      <c r="B182" s="325"/>
      <c r="C182" s="322"/>
      <c r="D182" s="400"/>
      <c r="E182" s="400"/>
    </row>
    <row r="183" spans="1:5" ht="19.5" hidden="1" thickBot="1">
      <c r="A183" s="319" t="s">
        <v>0</v>
      </c>
      <c r="B183" s="338"/>
      <c r="C183" s="330">
        <f>SUM(C181:C182)</f>
        <v>50000</v>
      </c>
      <c r="D183" s="335">
        <v>0</v>
      </c>
      <c r="E183" s="335">
        <v>0</v>
      </c>
    </row>
    <row r="184" spans="2:5" ht="18.75" hidden="1">
      <c r="B184" s="407"/>
      <c r="C184" s="408"/>
      <c r="D184" s="409"/>
      <c r="E184" s="317"/>
    </row>
    <row r="185" spans="2:5" ht="18.75" hidden="1">
      <c r="B185" s="356"/>
      <c r="C185" s="410"/>
      <c r="D185" s="409"/>
      <c r="E185" s="317"/>
    </row>
    <row r="186" spans="1:5" ht="18.75" hidden="1">
      <c r="A186" s="812" t="s">
        <v>475</v>
      </c>
      <c r="B186" s="813"/>
      <c r="C186" s="813"/>
      <c r="D186" s="813"/>
      <c r="E186" s="813"/>
    </row>
    <row r="187" spans="1:5" ht="18.75" hidden="1">
      <c r="A187" s="807" t="s">
        <v>40</v>
      </c>
      <c r="B187" s="808"/>
      <c r="C187" s="808"/>
      <c r="D187" s="808"/>
      <c r="E187" s="809"/>
    </row>
    <row r="188" spans="1:5" ht="18.75" hidden="1">
      <c r="A188" s="145" t="s">
        <v>35</v>
      </c>
      <c r="B188" s="319" t="s">
        <v>133</v>
      </c>
      <c r="C188" s="319" t="s">
        <v>22</v>
      </c>
      <c r="D188" s="345" t="s">
        <v>134</v>
      </c>
      <c r="E188" s="345" t="s">
        <v>135</v>
      </c>
    </row>
    <row r="189" spans="1:5" ht="18.75" hidden="1">
      <c r="A189" s="339" t="s">
        <v>476</v>
      </c>
      <c r="B189" s="321"/>
      <c r="C189" s="321"/>
      <c r="D189" s="322"/>
      <c r="E189" s="350"/>
    </row>
    <row r="190" spans="1:5" ht="18.75" hidden="1">
      <c r="A190" s="334" t="s">
        <v>477</v>
      </c>
      <c r="B190" s="351" t="s">
        <v>478</v>
      </c>
      <c r="C190" s="321"/>
      <c r="D190" s="322"/>
      <c r="E190" s="322"/>
    </row>
    <row r="191" spans="1:5" ht="18.75" hidden="1">
      <c r="A191" s="321" t="s">
        <v>479</v>
      </c>
      <c r="B191" s="325" t="s">
        <v>480</v>
      </c>
      <c r="C191" s="332">
        <v>5000000</v>
      </c>
      <c r="D191" s="327" t="s">
        <v>158</v>
      </c>
      <c r="E191" s="327" t="s">
        <v>158</v>
      </c>
    </row>
    <row r="192" spans="1:5" ht="18.75" hidden="1">
      <c r="A192" s="321" t="s">
        <v>481</v>
      </c>
      <c r="B192" s="325" t="s">
        <v>482</v>
      </c>
      <c r="C192" s="341">
        <v>5000</v>
      </c>
      <c r="D192" s="327" t="s">
        <v>158</v>
      </c>
      <c r="E192" s="327" t="s">
        <v>158</v>
      </c>
    </row>
    <row r="193" spans="1:5" ht="18.75" hidden="1">
      <c r="A193" s="342" t="s">
        <v>483</v>
      </c>
      <c r="B193" s="325" t="s">
        <v>484</v>
      </c>
      <c r="C193" s="343">
        <v>120000</v>
      </c>
      <c r="D193" s="327" t="s">
        <v>158</v>
      </c>
      <c r="E193" s="327" t="s">
        <v>158</v>
      </c>
    </row>
    <row r="194" spans="1:5" ht="18.75" hidden="1">
      <c r="A194" s="342" t="s">
        <v>485</v>
      </c>
      <c r="B194" s="344" t="s">
        <v>486</v>
      </c>
      <c r="C194" s="343">
        <v>550000</v>
      </c>
      <c r="D194" s="327" t="s">
        <v>158</v>
      </c>
      <c r="E194" s="327" t="s">
        <v>158</v>
      </c>
    </row>
    <row r="195" spans="1:5" ht="18.75" hidden="1">
      <c r="A195" s="321" t="s">
        <v>487</v>
      </c>
      <c r="B195" s="325" t="s">
        <v>488</v>
      </c>
      <c r="C195" s="322">
        <v>5000</v>
      </c>
      <c r="D195" s="327" t="s">
        <v>158</v>
      </c>
      <c r="E195" s="327" t="s">
        <v>158</v>
      </c>
    </row>
    <row r="196" spans="1:5" ht="18.75" hidden="1">
      <c r="A196" s="321" t="s">
        <v>489</v>
      </c>
      <c r="B196" s="325" t="s">
        <v>490</v>
      </c>
      <c r="C196" s="322">
        <v>8000</v>
      </c>
      <c r="D196" s="327" t="s">
        <v>158</v>
      </c>
      <c r="E196" s="327" t="s">
        <v>158</v>
      </c>
    </row>
    <row r="197" spans="1:5" ht="18.75" hidden="1">
      <c r="A197" s="321" t="s">
        <v>491</v>
      </c>
      <c r="B197" s="337">
        <v>1013</v>
      </c>
      <c r="C197" s="322">
        <v>100000</v>
      </c>
      <c r="D197" s="327" t="s">
        <v>158</v>
      </c>
      <c r="E197" s="341">
        <v>10156</v>
      </c>
    </row>
    <row r="198" spans="1:5" ht="18.75" hidden="1">
      <c r="A198" s="321"/>
      <c r="B198" s="337"/>
      <c r="C198" s="322"/>
      <c r="D198" s="327"/>
      <c r="E198" s="327"/>
    </row>
    <row r="199" spans="1:5" ht="19.5" hidden="1" thickBot="1">
      <c r="A199" s="334" t="s">
        <v>0</v>
      </c>
      <c r="B199" s="340"/>
      <c r="C199" s="330">
        <f>SUM(C191:C198)</f>
        <v>5788000</v>
      </c>
      <c r="D199" s="346" t="s">
        <v>158</v>
      </c>
      <c r="E199" s="346">
        <f>SUM(E197:E198)</f>
        <v>10156</v>
      </c>
    </row>
    <row r="200" spans="1:5" ht="18.75" hidden="1">
      <c r="A200" s="334" t="s">
        <v>492</v>
      </c>
      <c r="B200" s="334">
        <v>2000</v>
      </c>
      <c r="C200" s="331"/>
      <c r="D200" s="331"/>
      <c r="E200" s="331"/>
    </row>
    <row r="201" spans="1:5" ht="18.75" hidden="1">
      <c r="A201" s="342" t="s">
        <v>155</v>
      </c>
      <c r="B201" s="337">
        <v>2002</v>
      </c>
      <c r="C201" s="322">
        <v>1164000</v>
      </c>
      <c r="D201" s="327" t="s">
        <v>158</v>
      </c>
      <c r="E201" s="327" t="s">
        <v>158</v>
      </c>
    </row>
    <row r="202" spans="1:5" ht="18.75" hidden="1">
      <c r="A202" s="342" t="s">
        <v>493</v>
      </c>
      <c r="B202" s="337">
        <v>2003</v>
      </c>
      <c r="C202" s="322">
        <v>150000</v>
      </c>
      <c r="D202" s="327" t="s">
        <v>158</v>
      </c>
      <c r="E202" s="327" t="s">
        <v>158</v>
      </c>
    </row>
    <row r="203" spans="1:5" ht="19.5" hidden="1" thickBot="1">
      <c r="A203" s="334" t="s">
        <v>0</v>
      </c>
      <c r="B203" s="337"/>
      <c r="C203" s="330">
        <f>SUM(C200:C202)</f>
        <v>1314000</v>
      </c>
      <c r="D203" s="346" t="s">
        <v>158</v>
      </c>
      <c r="E203" s="346" t="s">
        <v>158</v>
      </c>
    </row>
    <row r="204" spans="1:5" ht="18.75" hidden="1">
      <c r="A204" s="334" t="s">
        <v>494</v>
      </c>
      <c r="B204" s="337"/>
      <c r="C204" s="322"/>
      <c r="D204" s="327"/>
      <c r="E204" s="327"/>
    </row>
    <row r="205" spans="1:5" ht="18.75" hidden="1">
      <c r="A205" s="342" t="s">
        <v>495</v>
      </c>
      <c r="B205" s="337" t="s">
        <v>470</v>
      </c>
      <c r="C205" s="322">
        <v>1136000</v>
      </c>
      <c r="D205" s="327" t="s">
        <v>158</v>
      </c>
      <c r="E205" s="327" t="s">
        <v>158</v>
      </c>
    </row>
    <row r="206" spans="1:5" ht="19.5" hidden="1" thickBot="1">
      <c r="A206" s="334" t="s">
        <v>0</v>
      </c>
      <c r="B206" s="337"/>
      <c r="C206" s="330">
        <f>SUM(C205)</f>
        <v>1136000</v>
      </c>
      <c r="D206" s="346" t="s">
        <v>158</v>
      </c>
      <c r="E206" s="346" t="s">
        <v>158</v>
      </c>
    </row>
    <row r="207" spans="1:5" ht="18.75" hidden="1">
      <c r="A207" s="334" t="s">
        <v>496</v>
      </c>
      <c r="B207" s="334">
        <v>3000</v>
      </c>
      <c r="C207" s="325"/>
      <c r="D207" s="327"/>
      <c r="E207" s="327"/>
    </row>
    <row r="208" spans="1:5" ht="18.75" hidden="1">
      <c r="A208" s="342" t="s">
        <v>497</v>
      </c>
      <c r="B208" s="337">
        <v>3002</v>
      </c>
      <c r="C208" s="325" t="s">
        <v>158</v>
      </c>
      <c r="D208" s="327" t="s">
        <v>158</v>
      </c>
      <c r="E208" s="341">
        <v>121325</v>
      </c>
    </row>
    <row r="209" spans="1:5" ht="18.75" hidden="1">
      <c r="A209" s="342" t="s">
        <v>498</v>
      </c>
      <c r="B209" s="337">
        <v>3002</v>
      </c>
      <c r="C209" s="325" t="s">
        <v>158</v>
      </c>
      <c r="D209" s="327" t="s">
        <v>158</v>
      </c>
      <c r="E209" s="341">
        <v>121000</v>
      </c>
    </row>
    <row r="210" spans="1:5" ht="18.75" hidden="1">
      <c r="A210" s="342" t="s">
        <v>499</v>
      </c>
      <c r="B210" s="337">
        <v>3002</v>
      </c>
      <c r="C210" s="325" t="s">
        <v>158</v>
      </c>
      <c r="D210" s="327" t="s">
        <v>158</v>
      </c>
      <c r="E210" s="327" t="s">
        <v>158</v>
      </c>
    </row>
    <row r="211" spans="1:5" ht="18.75" hidden="1">
      <c r="A211" s="342" t="s">
        <v>500</v>
      </c>
      <c r="B211" s="337">
        <v>3006</v>
      </c>
      <c r="C211" s="325" t="s">
        <v>158</v>
      </c>
      <c r="D211" s="327" t="s">
        <v>158</v>
      </c>
      <c r="E211" s="327" t="s">
        <v>158</v>
      </c>
    </row>
    <row r="212" spans="1:5" ht="19.5" hidden="1" thickBot="1">
      <c r="A212" s="334" t="s">
        <v>0</v>
      </c>
      <c r="B212" s="340"/>
      <c r="C212" s="411" t="s">
        <v>158</v>
      </c>
      <c r="D212" s="346" t="s">
        <v>158</v>
      </c>
      <c r="E212" s="346">
        <f>SUM(E208:E211)</f>
        <v>242325</v>
      </c>
    </row>
    <row r="213" spans="1:5" ht="18.75" hidden="1">
      <c r="A213" s="334" t="s">
        <v>501</v>
      </c>
      <c r="B213" s="334">
        <v>900</v>
      </c>
      <c r="C213" s="331"/>
      <c r="D213" s="336"/>
      <c r="E213" s="331"/>
    </row>
    <row r="214" spans="1:5" ht="18.75" hidden="1">
      <c r="A214" s="342" t="s">
        <v>157</v>
      </c>
      <c r="B214" s="337">
        <v>902</v>
      </c>
      <c r="C214" s="325" t="s">
        <v>158</v>
      </c>
      <c r="D214" s="322">
        <v>1903.56</v>
      </c>
      <c r="E214" s="322">
        <v>16185.8</v>
      </c>
    </row>
    <row r="215" spans="1:5" ht="18.75" hidden="1">
      <c r="A215" s="342" t="s">
        <v>159</v>
      </c>
      <c r="B215" s="337">
        <v>903</v>
      </c>
      <c r="C215" s="325" t="s">
        <v>158</v>
      </c>
      <c r="D215" s="327" t="s">
        <v>158</v>
      </c>
      <c r="E215" s="327" t="s">
        <v>158</v>
      </c>
    </row>
    <row r="216" spans="1:5" ht="18.75" hidden="1">
      <c r="A216" s="342" t="s">
        <v>257</v>
      </c>
      <c r="B216" s="337">
        <v>906</v>
      </c>
      <c r="C216" s="325" t="s">
        <v>158</v>
      </c>
      <c r="D216" s="327" t="s">
        <v>158</v>
      </c>
      <c r="E216" s="322">
        <v>40.25</v>
      </c>
    </row>
    <row r="217" spans="1:5" ht="18.75" hidden="1">
      <c r="A217" s="342" t="s">
        <v>502</v>
      </c>
      <c r="B217" s="337">
        <v>907</v>
      </c>
      <c r="C217" s="325" t="s">
        <v>158</v>
      </c>
      <c r="D217" s="327" t="s">
        <v>158</v>
      </c>
      <c r="E217" s="322">
        <v>48.3</v>
      </c>
    </row>
    <row r="218" spans="1:5" ht="19.5" hidden="1" thickBot="1">
      <c r="A218" s="334" t="s">
        <v>0</v>
      </c>
      <c r="B218" s="340"/>
      <c r="C218" s="411" t="s">
        <v>158</v>
      </c>
      <c r="D218" s="346">
        <f>SUM(D214:D217)</f>
        <v>1903.56</v>
      </c>
      <c r="E218" s="346">
        <f>SUM(E214:E217)</f>
        <v>16274.349999999999</v>
      </c>
    </row>
    <row r="219" spans="1:5" ht="20.25" hidden="1" thickBot="1" thickTop="1">
      <c r="A219" s="145" t="s">
        <v>161</v>
      </c>
      <c r="B219" s="355"/>
      <c r="C219" s="347">
        <f>C163+C173+C178+C183+C199+C203+C206</f>
        <v>8404400</v>
      </c>
      <c r="D219" s="347">
        <f>D163+D173+D218</f>
        <v>2792.56</v>
      </c>
      <c r="E219" s="347">
        <f>E163+E173+E178+E199+E212+E218</f>
        <v>294928.36</v>
      </c>
    </row>
    <row r="220" ht="18.75" hidden="1">
      <c r="A220" s="356"/>
    </row>
    <row r="221" ht="18.75" hidden="1"/>
    <row r="222" ht="18.75" hidden="1"/>
    <row r="223" spans="1:5" ht="18.75" hidden="1">
      <c r="A223" s="810" t="s">
        <v>440</v>
      </c>
      <c r="B223" s="810"/>
      <c r="C223" s="810"/>
      <c r="D223" s="810"/>
      <c r="E223" s="810"/>
    </row>
    <row r="224" spans="1:5" ht="18.75" hidden="1">
      <c r="A224" s="810" t="s">
        <v>441</v>
      </c>
      <c r="B224" s="810"/>
      <c r="C224" s="810"/>
      <c r="D224" s="810"/>
      <c r="E224" s="810"/>
    </row>
    <row r="225" spans="1:5" ht="18.75" hidden="1">
      <c r="A225" s="811" t="s">
        <v>507</v>
      </c>
      <c r="B225" s="811"/>
      <c r="C225" s="811"/>
      <c r="D225" s="811"/>
      <c r="E225" s="811"/>
    </row>
    <row r="226" spans="1:5" ht="18.75" hidden="1">
      <c r="A226" s="316"/>
      <c r="B226" s="316"/>
      <c r="C226" s="316"/>
      <c r="D226" s="317"/>
      <c r="E226" s="317"/>
    </row>
    <row r="227" spans="1:5" ht="18.75" hidden="1">
      <c r="A227" s="315"/>
      <c r="B227" s="315"/>
      <c r="C227" s="315"/>
      <c r="D227" s="318"/>
      <c r="E227" s="318"/>
    </row>
    <row r="228" spans="1:5" ht="18.75" hidden="1">
      <c r="A228" s="807" t="s">
        <v>40</v>
      </c>
      <c r="B228" s="808"/>
      <c r="C228" s="808"/>
      <c r="D228" s="808"/>
      <c r="E228" s="809"/>
    </row>
    <row r="229" spans="1:5" ht="18.75" hidden="1">
      <c r="A229" s="319" t="s">
        <v>35</v>
      </c>
      <c r="B229" s="319" t="s">
        <v>133</v>
      </c>
      <c r="C229" s="319" t="s">
        <v>22</v>
      </c>
      <c r="D229" s="345" t="s">
        <v>134</v>
      </c>
      <c r="E229" s="345" t="s">
        <v>135</v>
      </c>
    </row>
    <row r="230" spans="1:5" ht="18.75" hidden="1">
      <c r="A230" s="320" t="s">
        <v>443</v>
      </c>
      <c r="B230" s="321"/>
      <c r="C230" s="321"/>
      <c r="D230" s="322"/>
      <c r="E230" s="322"/>
    </row>
    <row r="231" spans="1:5" ht="18.75" hidden="1">
      <c r="A231" s="329" t="s">
        <v>444</v>
      </c>
      <c r="B231" s="351" t="s">
        <v>445</v>
      </c>
      <c r="C231" s="321"/>
      <c r="D231" s="322"/>
      <c r="E231" s="322"/>
    </row>
    <row r="232" spans="1:5" ht="18.75" hidden="1">
      <c r="A232" s="324" t="s">
        <v>446</v>
      </c>
      <c r="B232" s="325" t="s">
        <v>447</v>
      </c>
      <c r="C232" s="326">
        <v>35000</v>
      </c>
      <c r="D232" s="341">
        <v>4286</v>
      </c>
      <c r="E232" s="341">
        <v>4286</v>
      </c>
    </row>
    <row r="233" spans="1:5" ht="18.75" hidden="1">
      <c r="A233" s="324" t="s">
        <v>448</v>
      </c>
      <c r="B233" s="325" t="s">
        <v>449</v>
      </c>
      <c r="C233" s="328">
        <v>38000</v>
      </c>
      <c r="D233" s="341">
        <v>4760.61</v>
      </c>
      <c r="E233" s="341">
        <v>5477.06</v>
      </c>
    </row>
    <row r="234" spans="1:5" ht="18.75" hidden="1">
      <c r="A234" s="324" t="s">
        <v>450</v>
      </c>
      <c r="B234" s="325" t="s">
        <v>451</v>
      </c>
      <c r="C234" s="328">
        <v>20000</v>
      </c>
      <c r="D234" s="327" t="s">
        <v>158</v>
      </c>
      <c r="E234" s="327" t="s">
        <v>158</v>
      </c>
    </row>
    <row r="235" spans="1:5" ht="18.75" hidden="1">
      <c r="A235" s="324" t="s">
        <v>452</v>
      </c>
      <c r="B235" s="325" t="s">
        <v>453</v>
      </c>
      <c r="C235" s="328">
        <v>10000</v>
      </c>
      <c r="D235" s="341">
        <v>708</v>
      </c>
      <c r="E235" s="341">
        <v>2116</v>
      </c>
    </row>
    <row r="236" spans="1:5" ht="18.75" hidden="1">
      <c r="A236" s="324"/>
      <c r="B236" s="325"/>
      <c r="C236" s="399"/>
      <c r="D236" s="400"/>
      <c r="E236" s="401"/>
    </row>
    <row r="237" spans="1:5" ht="19.5" hidden="1" thickBot="1">
      <c r="A237" s="329" t="s">
        <v>0</v>
      </c>
      <c r="B237" s="323"/>
      <c r="C237" s="402">
        <f>SUM(C232:C236)</f>
        <v>103000</v>
      </c>
      <c r="D237" s="403">
        <f>SUM(D232:D236)</f>
        <v>9754.61</v>
      </c>
      <c r="E237" s="402">
        <f>SUM(E232:E236)</f>
        <v>11879.060000000001</v>
      </c>
    </row>
    <row r="238" spans="1:5" ht="18.75" hidden="1">
      <c r="A238" s="329"/>
      <c r="B238" s="323"/>
      <c r="C238" s="331"/>
      <c r="D238" s="331"/>
      <c r="E238" s="331"/>
    </row>
    <row r="239" spans="1:5" ht="18.75" hidden="1">
      <c r="A239" s="329" t="s">
        <v>454</v>
      </c>
      <c r="B239" s="351" t="s">
        <v>455</v>
      </c>
      <c r="C239" s="321"/>
      <c r="D239" s="322"/>
      <c r="E239" s="322"/>
    </row>
    <row r="240" spans="1:5" ht="18.75" hidden="1">
      <c r="A240" s="324" t="s">
        <v>457</v>
      </c>
      <c r="B240" s="325" t="s">
        <v>456</v>
      </c>
      <c r="C240" s="332">
        <v>3000</v>
      </c>
      <c r="D240" s="341">
        <v>1083</v>
      </c>
      <c r="E240" s="341">
        <v>3492</v>
      </c>
    </row>
    <row r="241" spans="1:5" ht="18.75" hidden="1">
      <c r="A241" s="404" t="s">
        <v>458</v>
      </c>
      <c r="B241" s="325" t="s">
        <v>459</v>
      </c>
      <c r="C241" s="325" t="s">
        <v>158</v>
      </c>
      <c r="D241" s="327" t="s">
        <v>158</v>
      </c>
      <c r="E241" s="327" t="s">
        <v>158</v>
      </c>
    </row>
    <row r="242" spans="1:5" ht="18.75" hidden="1">
      <c r="A242" s="324" t="s">
        <v>460</v>
      </c>
      <c r="B242" s="325" t="s">
        <v>461</v>
      </c>
      <c r="C242" s="325" t="s">
        <v>158</v>
      </c>
      <c r="D242" s="327" t="s">
        <v>158</v>
      </c>
      <c r="E242" s="341">
        <v>17300</v>
      </c>
    </row>
    <row r="243" spans="1:5" ht="18.75" hidden="1">
      <c r="A243" s="404" t="s">
        <v>462</v>
      </c>
      <c r="B243" s="325" t="s">
        <v>463</v>
      </c>
      <c r="C243" s="322">
        <v>400</v>
      </c>
      <c r="D243" s="327" t="s">
        <v>158</v>
      </c>
      <c r="E243" s="327" t="s">
        <v>158</v>
      </c>
    </row>
    <row r="244" spans="1:5" ht="18.75" hidden="1">
      <c r="A244" s="324" t="s">
        <v>464</v>
      </c>
      <c r="B244" s="325" t="s">
        <v>465</v>
      </c>
      <c r="C244" s="322">
        <v>5000</v>
      </c>
      <c r="D244" s="327" t="s">
        <v>158</v>
      </c>
      <c r="E244" s="341">
        <v>300</v>
      </c>
    </row>
    <row r="245" spans="1:5" ht="18.75" hidden="1">
      <c r="A245" s="324" t="s">
        <v>504</v>
      </c>
      <c r="B245" s="325" t="s">
        <v>505</v>
      </c>
      <c r="C245" s="325" t="s">
        <v>158</v>
      </c>
      <c r="D245" s="341">
        <v>20</v>
      </c>
      <c r="E245" s="341">
        <v>4020</v>
      </c>
    </row>
    <row r="246" spans="1:5" ht="18.75" hidden="1">
      <c r="A246" s="404"/>
      <c r="B246" s="325"/>
      <c r="C246" s="322"/>
      <c r="D246" s="327"/>
      <c r="E246" s="327"/>
    </row>
    <row r="247" spans="1:5" ht="19.5" hidden="1" thickBot="1">
      <c r="A247" s="329" t="s">
        <v>0</v>
      </c>
      <c r="B247" s="333"/>
      <c r="C247" s="330">
        <f>SUM(C240:C246)</f>
        <v>8400</v>
      </c>
      <c r="D247" s="335">
        <f>SUM(D240:D246)</f>
        <v>1103</v>
      </c>
      <c r="E247" s="330">
        <f>SUM(E240:E246)</f>
        <v>25112</v>
      </c>
    </row>
    <row r="248" spans="1:5" ht="19.5" hidden="1" thickTop="1">
      <c r="A248" s="323"/>
      <c r="B248" s="325"/>
      <c r="C248" s="405"/>
      <c r="E248" s="406"/>
    </row>
    <row r="249" spans="1:5" ht="18.75" hidden="1">
      <c r="A249" s="329" t="s">
        <v>466</v>
      </c>
      <c r="B249" s="351" t="s">
        <v>467</v>
      </c>
      <c r="C249" s="405"/>
      <c r="E249" s="322"/>
    </row>
    <row r="250" spans="1:5" ht="18.75" hidden="1">
      <c r="A250" s="321" t="s">
        <v>468</v>
      </c>
      <c r="B250" s="325" t="s">
        <v>469</v>
      </c>
      <c r="C250" s="322">
        <v>5000</v>
      </c>
      <c r="D250" s="341">
        <v>237.52</v>
      </c>
      <c r="E250" s="341">
        <v>277.08</v>
      </c>
    </row>
    <row r="251" spans="1:5" ht="18.75" hidden="1">
      <c r="A251" s="321"/>
      <c r="B251" s="325"/>
      <c r="C251" s="322"/>
      <c r="D251" s="322"/>
      <c r="E251" s="322"/>
    </row>
    <row r="252" spans="1:5" ht="19.5" hidden="1" thickBot="1">
      <c r="A252" s="334" t="s">
        <v>0</v>
      </c>
      <c r="B252" s="334"/>
      <c r="C252" s="330">
        <f>SUM(C250:C251)</f>
        <v>5000</v>
      </c>
      <c r="D252" s="330">
        <f>SUM(D250:D251)</f>
        <v>237.52</v>
      </c>
      <c r="E252" s="330">
        <f>SUM(E250:E251)</f>
        <v>277.08</v>
      </c>
    </row>
    <row r="253" spans="1:5" ht="19.5" hidden="1" thickTop="1">
      <c r="A253" s="329"/>
      <c r="B253" s="334"/>
      <c r="C253" s="331"/>
      <c r="E253" s="406"/>
    </row>
    <row r="254" spans="1:5" ht="18.75" hidden="1">
      <c r="A254" s="329" t="s">
        <v>471</v>
      </c>
      <c r="B254" s="351" t="s">
        <v>472</v>
      </c>
      <c r="C254" s="322"/>
      <c r="E254" s="322"/>
    </row>
    <row r="255" spans="1:5" ht="18.75" hidden="1">
      <c r="A255" s="324" t="s">
        <v>473</v>
      </c>
      <c r="B255" s="325" t="s">
        <v>474</v>
      </c>
      <c r="C255" s="322">
        <v>50000</v>
      </c>
      <c r="D255" s="341">
        <v>18000</v>
      </c>
      <c r="E255" s="341">
        <v>18000</v>
      </c>
    </row>
    <row r="256" spans="1:5" ht="18.75" hidden="1">
      <c r="A256" s="404"/>
      <c r="B256" s="325"/>
      <c r="C256" s="322"/>
      <c r="D256" s="400"/>
      <c r="E256" s="400"/>
    </row>
    <row r="257" spans="1:5" ht="19.5" hidden="1" thickBot="1">
      <c r="A257" s="319" t="s">
        <v>0</v>
      </c>
      <c r="B257" s="338"/>
      <c r="C257" s="330">
        <f>SUM(C255:C256)</f>
        <v>50000</v>
      </c>
      <c r="D257" s="330">
        <f>SUM(D255:D256)</f>
        <v>18000</v>
      </c>
      <c r="E257" s="330">
        <f>SUM(E255:E256)</f>
        <v>18000</v>
      </c>
    </row>
    <row r="258" spans="2:5" ht="18.75" hidden="1">
      <c r="B258" s="407"/>
      <c r="C258" s="408"/>
      <c r="D258" s="409"/>
      <c r="E258" s="317"/>
    </row>
    <row r="259" spans="1:5" ht="18.75" hidden="1">
      <c r="A259" s="812" t="s">
        <v>475</v>
      </c>
      <c r="B259" s="813"/>
      <c r="C259" s="813"/>
      <c r="D259" s="813"/>
      <c r="E259" s="813"/>
    </row>
    <row r="260" spans="1:5" ht="18.75" hidden="1">
      <c r="A260" s="807" t="s">
        <v>40</v>
      </c>
      <c r="B260" s="808"/>
      <c r="C260" s="808"/>
      <c r="D260" s="808"/>
      <c r="E260" s="809"/>
    </row>
    <row r="261" spans="1:5" ht="18.75" hidden="1">
      <c r="A261" s="145" t="s">
        <v>35</v>
      </c>
      <c r="B261" s="319" t="s">
        <v>133</v>
      </c>
      <c r="C261" s="319" t="s">
        <v>22</v>
      </c>
      <c r="D261" s="345" t="s">
        <v>134</v>
      </c>
      <c r="E261" s="345" t="s">
        <v>135</v>
      </c>
    </row>
    <row r="262" spans="1:5" ht="18.75" hidden="1">
      <c r="A262" s="339" t="s">
        <v>476</v>
      </c>
      <c r="B262" s="321"/>
      <c r="C262" s="321"/>
      <c r="D262" s="322"/>
      <c r="E262" s="350"/>
    </row>
    <row r="263" spans="1:5" ht="18.75" hidden="1">
      <c r="A263" s="334" t="s">
        <v>477</v>
      </c>
      <c r="B263" s="351" t="s">
        <v>478</v>
      </c>
      <c r="C263" s="321"/>
      <c r="D263" s="322"/>
      <c r="E263" s="322"/>
    </row>
    <row r="264" spans="1:5" ht="18.75" hidden="1">
      <c r="A264" s="321" t="s">
        <v>479</v>
      </c>
      <c r="B264" s="325" t="s">
        <v>480</v>
      </c>
      <c r="C264" s="332">
        <v>5000000</v>
      </c>
      <c r="D264" s="341">
        <v>833104.37</v>
      </c>
      <c r="E264" s="341">
        <v>833104.37</v>
      </c>
    </row>
    <row r="265" spans="1:5" ht="18.75" hidden="1">
      <c r="A265" s="321" t="s">
        <v>481</v>
      </c>
      <c r="B265" s="325" t="s">
        <v>482</v>
      </c>
      <c r="C265" s="341">
        <v>5000</v>
      </c>
      <c r="D265" s="327" t="s">
        <v>158</v>
      </c>
      <c r="E265" s="327" t="s">
        <v>158</v>
      </c>
    </row>
    <row r="266" spans="1:5" ht="18.75" hidden="1">
      <c r="A266" s="342" t="s">
        <v>483</v>
      </c>
      <c r="B266" s="325" t="s">
        <v>484</v>
      </c>
      <c r="C266" s="343">
        <v>120000</v>
      </c>
      <c r="D266" s="341">
        <v>27460.54</v>
      </c>
      <c r="E266" s="341">
        <v>27460.54</v>
      </c>
    </row>
    <row r="267" spans="1:5" ht="18.75" hidden="1">
      <c r="A267" s="342" t="s">
        <v>485</v>
      </c>
      <c r="B267" s="344" t="s">
        <v>486</v>
      </c>
      <c r="C267" s="343">
        <v>550000</v>
      </c>
      <c r="D267" s="341">
        <v>283430.45</v>
      </c>
      <c r="E267" s="341">
        <v>283430.45</v>
      </c>
    </row>
    <row r="268" spans="1:5" ht="18.75" hidden="1">
      <c r="A268" s="321" t="s">
        <v>487</v>
      </c>
      <c r="B268" s="325" t="s">
        <v>488</v>
      </c>
      <c r="C268" s="322">
        <v>5000</v>
      </c>
      <c r="D268" s="327" t="s">
        <v>158</v>
      </c>
      <c r="E268" s="327" t="s">
        <v>158</v>
      </c>
    </row>
    <row r="269" spans="1:5" ht="18.75" hidden="1">
      <c r="A269" s="321" t="s">
        <v>489</v>
      </c>
      <c r="B269" s="325" t="s">
        <v>490</v>
      </c>
      <c r="C269" s="322">
        <v>8000</v>
      </c>
      <c r="D269" s="341">
        <v>2453.45</v>
      </c>
      <c r="E269" s="341">
        <v>2453.45</v>
      </c>
    </row>
    <row r="270" spans="1:5" ht="18.75" hidden="1">
      <c r="A270" s="321" t="s">
        <v>491</v>
      </c>
      <c r="B270" s="337">
        <v>1013</v>
      </c>
      <c r="C270" s="322">
        <v>100000</v>
      </c>
      <c r="D270" s="341">
        <v>85539</v>
      </c>
      <c r="E270" s="341">
        <v>95695</v>
      </c>
    </row>
    <row r="271" spans="1:5" ht="19.5" hidden="1" thickBot="1">
      <c r="A271" s="334" t="s">
        <v>0</v>
      </c>
      <c r="B271" s="340"/>
      <c r="C271" s="330">
        <f>SUM(C264:C270)</f>
        <v>5788000</v>
      </c>
      <c r="D271" s="335">
        <f>SUM(D264:D270)</f>
        <v>1231987.81</v>
      </c>
      <c r="E271" s="335">
        <f>SUM(E264:E270)</f>
        <v>1242143.81</v>
      </c>
    </row>
    <row r="272" spans="1:5" ht="18.75" hidden="1">
      <c r="A272" s="334" t="s">
        <v>492</v>
      </c>
      <c r="B272" s="334">
        <v>2000</v>
      </c>
      <c r="C272" s="331"/>
      <c r="D272" s="331"/>
      <c r="E272" s="331"/>
    </row>
    <row r="273" spans="1:5" ht="18.75" hidden="1">
      <c r="A273" s="342" t="s">
        <v>155</v>
      </c>
      <c r="B273" s="337">
        <v>2002</v>
      </c>
      <c r="C273" s="322">
        <v>1164000</v>
      </c>
      <c r="D273" s="341">
        <v>1309379</v>
      </c>
      <c r="E273" s="341">
        <v>1309379</v>
      </c>
    </row>
    <row r="274" spans="1:5" ht="18.75" hidden="1">
      <c r="A274" s="342" t="s">
        <v>493</v>
      </c>
      <c r="B274" s="337">
        <v>2003</v>
      </c>
      <c r="C274" s="322">
        <v>150000</v>
      </c>
      <c r="D274" s="341">
        <v>15000</v>
      </c>
      <c r="E274" s="341">
        <v>15000</v>
      </c>
    </row>
    <row r="275" spans="1:5" ht="19.5" hidden="1" thickBot="1">
      <c r="A275" s="334" t="s">
        <v>0</v>
      </c>
      <c r="B275" s="337"/>
      <c r="C275" s="330">
        <f>SUM(C272:C274)</f>
        <v>1314000</v>
      </c>
      <c r="D275" s="335">
        <f>SUM(D273:D274)</f>
        <v>1324379</v>
      </c>
      <c r="E275" s="335">
        <f>SUM(E273:E274)</f>
        <v>1324379</v>
      </c>
    </row>
    <row r="276" spans="1:5" ht="18.75" hidden="1">
      <c r="A276" s="334" t="s">
        <v>496</v>
      </c>
      <c r="B276" s="334">
        <v>3000</v>
      </c>
      <c r="C276" s="325"/>
      <c r="D276" s="327"/>
      <c r="E276" s="327"/>
    </row>
    <row r="277" spans="1:5" ht="18.75" hidden="1">
      <c r="A277" s="342" t="s">
        <v>497</v>
      </c>
      <c r="B277" s="337">
        <v>3002</v>
      </c>
      <c r="C277" s="325" t="s">
        <v>158</v>
      </c>
      <c r="D277" s="327" t="s">
        <v>158</v>
      </c>
      <c r="E277" s="341">
        <v>121325</v>
      </c>
    </row>
    <row r="278" spans="1:5" ht="18.75" hidden="1">
      <c r="A278" s="342" t="s">
        <v>498</v>
      </c>
      <c r="B278" s="337">
        <v>3002</v>
      </c>
      <c r="C278" s="325" t="s">
        <v>158</v>
      </c>
      <c r="D278" s="327" t="s">
        <v>158</v>
      </c>
      <c r="E278" s="341">
        <v>121000</v>
      </c>
    </row>
    <row r="279" spans="1:5" ht="18.75" hidden="1">
      <c r="A279" s="342" t="s">
        <v>499</v>
      </c>
      <c r="B279" s="337">
        <v>3002</v>
      </c>
      <c r="C279" s="325" t="s">
        <v>158</v>
      </c>
      <c r="D279" s="341">
        <v>111600</v>
      </c>
      <c r="E279" s="341">
        <v>111600</v>
      </c>
    </row>
    <row r="280" spans="1:5" ht="18.75" hidden="1">
      <c r="A280" s="342" t="s">
        <v>508</v>
      </c>
      <c r="B280" s="337">
        <v>3002</v>
      </c>
      <c r="C280" s="325" t="s">
        <v>158</v>
      </c>
      <c r="D280" s="341">
        <v>18000</v>
      </c>
      <c r="E280" s="341">
        <v>18000</v>
      </c>
    </row>
    <row r="281" spans="1:5" ht="18.75" hidden="1">
      <c r="A281" s="342" t="s">
        <v>509</v>
      </c>
      <c r="B281" s="337">
        <v>3002</v>
      </c>
      <c r="C281" s="325" t="s">
        <v>158</v>
      </c>
      <c r="D281" s="341">
        <v>100000</v>
      </c>
      <c r="E281" s="341">
        <v>100000</v>
      </c>
    </row>
    <row r="282" spans="1:5" ht="18.75" hidden="1">
      <c r="A282" s="342" t="s">
        <v>510</v>
      </c>
      <c r="B282" s="337">
        <v>3002</v>
      </c>
      <c r="C282" s="325" t="s">
        <v>158</v>
      </c>
      <c r="D282" s="341">
        <v>20000</v>
      </c>
      <c r="E282" s="341">
        <v>20000</v>
      </c>
    </row>
    <row r="283" spans="1:5" ht="18.75" hidden="1">
      <c r="A283" s="342" t="s">
        <v>511</v>
      </c>
      <c r="B283" s="337">
        <v>3006</v>
      </c>
      <c r="C283" s="325" t="s">
        <v>158</v>
      </c>
      <c r="D283" s="327" t="s">
        <v>158</v>
      </c>
      <c r="E283" s="327" t="s">
        <v>158</v>
      </c>
    </row>
    <row r="284" spans="1:5" ht="19.5" hidden="1" thickBot="1">
      <c r="A284" s="334" t="s">
        <v>0</v>
      </c>
      <c r="B284" s="340"/>
      <c r="C284" s="352" t="s">
        <v>158</v>
      </c>
      <c r="D284" s="335">
        <f>SUM(D279:D283)</f>
        <v>249600</v>
      </c>
      <c r="E284" s="335">
        <f>SUM(E277:E283)</f>
        <v>491925</v>
      </c>
    </row>
    <row r="285" spans="1:5" ht="18.75" hidden="1">
      <c r="A285" s="334" t="s">
        <v>501</v>
      </c>
      <c r="B285" s="334">
        <v>900</v>
      </c>
      <c r="C285" s="331"/>
      <c r="D285" s="336"/>
      <c r="E285" s="331"/>
    </row>
    <row r="286" spans="1:5" ht="18.75" hidden="1">
      <c r="A286" s="342" t="s">
        <v>157</v>
      </c>
      <c r="B286" s="337">
        <v>902</v>
      </c>
      <c r="C286" s="325" t="s">
        <v>158</v>
      </c>
      <c r="D286" s="322">
        <v>413.63</v>
      </c>
      <c r="E286" s="322">
        <v>16599.43</v>
      </c>
    </row>
    <row r="287" spans="1:5" ht="18.75" hidden="1">
      <c r="A287" s="342" t="s">
        <v>159</v>
      </c>
      <c r="B287" s="337">
        <v>903</v>
      </c>
      <c r="C287" s="325" t="s">
        <v>158</v>
      </c>
      <c r="D287" s="322">
        <v>5000</v>
      </c>
      <c r="E287" s="322">
        <v>5000</v>
      </c>
    </row>
    <row r="288" spans="1:5" ht="18.75" hidden="1">
      <c r="A288" s="342" t="s">
        <v>257</v>
      </c>
      <c r="B288" s="337">
        <v>906</v>
      </c>
      <c r="C288" s="325" t="s">
        <v>158</v>
      </c>
      <c r="D288" s="322">
        <v>267.45</v>
      </c>
      <c r="E288" s="322">
        <v>307.7</v>
      </c>
    </row>
    <row r="289" spans="1:5" ht="18.75" hidden="1">
      <c r="A289" s="342" t="s">
        <v>502</v>
      </c>
      <c r="B289" s="337">
        <v>907</v>
      </c>
      <c r="C289" s="325" t="s">
        <v>158</v>
      </c>
      <c r="D289" s="322">
        <v>320.94</v>
      </c>
      <c r="E289" s="322">
        <v>369.24</v>
      </c>
    </row>
    <row r="290" spans="1:5" ht="19.5" hidden="1" thickBot="1">
      <c r="A290" s="334" t="s">
        <v>0</v>
      </c>
      <c r="B290" s="340"/>
      <c r="C290" s="352" t="s">
        <v>158</v>
      </c>
      <c r="D290" s="335">
        <f>SUM(D286:D289)</f>
        <v>6002.0199999999995</v>
      </c>
      <c r="E290" s="335">
        <f>SUM(E286:E289)</f>
        <v>22276.370000000003</v>
      </c>
    </row>
    <row r="291" spans="1:5" ht="20.25" hidden="1" thickBot="1" thickTop="1">
      <c r="A291" s="145" t="s">
        <v>161</v>
      </c>
      <c r="B291" s="355"/>
      <c r="C291" s="347">
        <f>C237+C247+C252+C257+C271+C275</f>
        <v>7268400</v>
      </c>
      <c r="D291" s="347">
        <f>D237+D247+D252+D257+D271+D275+D284+D290</f>
        <v>2841063.96</v>
      </c>
      <c r="E291" s="347">
        <f>E237+E247+E252+E257+E271+E275+E284+E290</f>
        <v>3135992.3200000003</v>
      </c>
    </row>
    <row r="292" ht="18.75" hidden="1">
      <c r="A292" s="356"/>
    </row>
    <row r="293" ht="18.75" hidden="1">
      <c r="A293" s="356"/>
    </row>
    <row r="294" ht="18.75" hidden="1">
      <c r="A294" s="356"/>
    </row>
    <row r="295" ht="18.75" hidden="1"/>
    <row r="296" ht="18.75" hidden="1"/>
    <row r="297" spans="1:5" ht="18.75" hidden="1">
      <c r="A297" s="810" t="s">
        <v>440</v>
      </c>
      <c r="B297" s="810"/>
      <c r="C297" s="810"/>
      <c r="D297" s="810"/>
      <c r="E297" s="810"/>
    </row>
    <row r="298" spans="1:5" ht="18.75" hidden="1">
      <c r="A298" s="810" t="s">
        <v>441</v>
      </c>
      <c r="B298" s="810"/>
      <c r="C298" s="810"/>
      <c r="D298" s="810"/>
      <c r="E298" s="810"/>
    </row>
    <row r="299" spans="1:5" ht="18.75" hidden="1">
      <c r="A299" s="811" t="s">
        <v>512</v>
      </c>
      <c r="B299" s="811"/>
      <c r="C299" s="811"/>
      <c r="D299" s="811"/>
      <c r="E299" s="811"/>
    </row>
    <row r="300" spans="1:5" ht="18.75" hidden="1">
      <c r="A300" s="316"/>
      <c r="B300" s="316"/>
      <c r="C300" s="316"/>
      <c r="D300" s="317"/>
      <c r="E300" s="317"/>
    </row>
    <row r="301" spans="1:5" ht="18.75" hidden="1">
      <c r="A301" s="315"/>
      <c r="B301" s="315"/>
      <c r="C301" s="315"/>
      <c r="D301" s="318"/>
      <c r="E301" s="318"/>
    </row>
    <row r="302" spans="1:5" ht="18.75" hidden="1">
      <c r="A302" s="807" t="s">
        <v>40</v>
      </c>
      <c r="B302" s="808"/>
      <c r="C302" s="808"/>
      <c r="D302" s="808"/>
      <c r="E302" s="809"/>
    </row>
    <row r="303" spans="1:5" ht="18.75" hidden="1">
      <c r="A303" s="319" t="s">
        <v>35</v>
      </c>
      <c r="B303" s="319" t="s">
        <v>133</v>
      </c>
      <c r="C303" s="319" t="s">
        <v>22</v>
      </c>
      <c r="D303" s="345" t="s">
        <v>134</v>
      </c>
      <c r="E303" s="345" t="s">
        <v>135</v>
      </c>
    </row>
    <row r="304" spans="1:5" ht="18.75" hidden="1">
      <c r="A304" s="320" t="s">
        <v>443</v>
      </c>
      <c r="B304" s="321"/>
      <c r="C304" s="321"/>
      <c r="D304" s="322"/>
      <c r="E304" s="322"/>
    </row>
    <row r="305" spans="1:5" ht="18.75" hidden="1">
      <c r="A305" s="329" t="s">
        <v>444</v>
      </c>
      <c r="B305" s="351" t="s">
        <v>445</v>
      </c>
      <c r="C305" s="321"/>
      <c r="D305" s="322"/>
      <c r="E305" s="322"/>
    </row>
    <row r="306" spans="1:5" ht="18.75" hidden="1">
      <c r="A306" s="324" t="s">
        <v>446</v>
      </c>
      <c r="B306" s="325" t="s">
        <v>447</v>
      </c>
      <c r="C306" s="326">
        <v>35000</v>
      </c>
      <c r="D306" s="341">
        <v>15632</v>
      </c>
      <c r="E306" s="341">
        <v>19918</v>
      </c>
    </row>
    <row r="307" spans="1:5" ht="18.75" hidden="1">
      <c r="A307" s="324" t="s">
        <v>448</v>
      </c>
      <c r="B307" s="325" t="s">
        <v>449</v>
      </c>
      <c r="C307" s="328">
        <v>38000</v>
      </c>
      <c r="D307" s="341">
        <v>6576.21</v>
      </c>
      <c r="E307" s="341">
        <v>12053.27</v>
      </c>
    </row>
    <row r="308" spans="1:5" ht="18.75" hidden="1">
      <c r="A308" s="324" t="s">
        <v>450</v>
      </c>
      <c r="B308" s="325" t="s">
        <v>451</v>
      </c>
      <c r="C308" s="328">
        <v>20000</v>
      </c>
      <c r="D308" s="341">
        <v>1860</v>
      </c>
      <c r="E308" s="341">
        <v>1860</v>
      </c>
    </row>
    <row r="309" spans="1:5" ht="18.75" hidden="1">
      <c r="A309" s="324" t="s">
        <v>452</v>
      </c>
      <c r="B309" s="325" t="s">
        <v>453</v>
      </c>
      <c r="C309" s="328">
        <v>10000</v>
      </c>
      <c r="D309" s="341">
        <v>570</v>
      </c>
      <c r="E309" s="341">
        <v>2686</v>
      </c>
    </row>
    <row r="310" spans="1:5" ht="18.75" hidden="1">
      <c r="A310" s="324"/>
      <c r="B310" s="325"/>
      <c r="C310" s="399"/>
      <c r="D310" s="400"/>
      <c r="E310" s="401"/>
    </row>
    <row r="311" spans="1:5" ht="19.5" hidden="1" thickBot="1">
      <c r="A311" s="329" t="s">
        <v>0</v>
      </c>
      <c r="B311" s="323"/>
      <c r="C311" s="402">
        <f>SUM(C306:C310)</f>
        <v>103000</v>
      </c>
      <c r="D311" s="403">
        <f>SUM(D306:D310)</f>
        <v>24638.21</v>
      </c>
      <c r="E311" s="402">
        <f>SUM(E306:E310)</f>
        <v>36517.270000000004</v>
      </c>
    </row>
    <row r="312" spans="1:5" ht="18.75" hidden="1">
      <c r="A312" s="329"/>
      <c r="B312" s="323"/>
      <c r="C312" s="331"/>
      <c r="D312" s="331"/>
      <c r="E312" s="331"/>
    </row>
    <row r="313" spans="1:5" ht="18.75" hidden="1">
      <c r="A313" s="329" t="s">
        <v>454</v>
      </c>
      <c r="B313" s="351" t="s">
        <v>455</v>
      </c>
      <c r="C313" s="321"/>
      <c r="D313" s="322"/>
      <c r="E313" s="322"/>
    </row>
    <row r="314" spans="1:5" ht="18.75" hidden="1">
      <c r="A314" s="324" t="s">
        <v>457</v>
      </c>
      <c r="B314" s="325" t="s">
        <v>456</v>
      </c>
      <c r="C314" s="332">
        <v>3000</v>
      </c>
      <c r="D314" s="341">
        <v>960</v>
      </c>
      <c r="E314" s="341">
        <v>4452</v>
      </c>
    </row>
    <row r="315" spans="1:5" ht="18.75" hidden="1">
      <c r="A315" s="404" t="s">
        <v>458</v>
      </c>
      <c r="B315" s="325" t="s">
        <v>459</v>
      </c>
      <c r="C315" s="325" t="s">
        <v>158</v>
      </c>
      <c r="D315" s="341">
        <v>400</v>
      </c>
      <c r="E315" s="341">
        <v>400</v>
      </c>
    </row>
    <row r="316" spans="1:5" ht="18.75" hidden="1">
      <c r="A316" s="324" t="s">
        <v>460</v>
      </c>
      <c r="B316" s="325" t="s">
        <v>461</v>
      </c>
      <c r="C316" s="325" t="s">
        <v>158</v>
      </c>
      <c r="D316" s="327" t="s">
        <v>158</v>
      </c>
      <c r="E316" s="341">
        <v>17300</v>
      </c>
    </row>
    <row r="317" spans="1:5" ht="18.75" hidden="1">
      <c r="A317" s="404" t="s">
        <v>462</v>
      </c>
      <c r="B317" s="325" t="s">
        <v>463</v>
      </c>
      <c r="C317" s="322">
        <v>400</v>
      </c>
      <c r="D317" s="327" t="s">
        <v>158</v>
      </c>
      <c r="E317" s="327" t="s">
        <v>158</v>
      </c>
    </row>
    <row r="318" spans="1:5" ht="18.75" hidden="1">
      <c r="A318" s="324" t="s">
        <v>464</v>
      </c>
      <c r="B318" s="325" t="s">
        <v>465</v>
      </c>
      <c r="C318" s="322">
        <v>5000</v>
      </c>
      <c r="D318" s="327" t="s">
        <v>158</v>
      </c>
      <c r="E318" s="341">
        <v>300</v>
      </c>
    </row>
    <row r="319" spans="1:5" ht="18.75" hidden="1">
      <c r="A319" s="324" t="s">
        <v>504</v>
      </c>
      <c r="B319" s="325" t="s">
        <v>505</v>
      </c>
      <c r="C319" s="325" t="s">
        <v>158</v>
      </c>
      <c r="D319" s="327" t="s">
        <v>158</v>
      </c>
      <c r="E319" s="341">
        <v>4020</v>
      </c>
    </row>
    <row r="320" spans="1:5" ht="18.75" hidden="1">
      <c r="A320" s="404"/>
      <c r="B320" s="325"/>
      <c r="C320" s="322"/>
      <c r="D320" s="327"/>
      <c r="E320" s="327"/>
    </row>
    <row r="321" spans="1:5" ht="19.5" hidden="1" thickBot="1">
      <c r="A321" s="329" t="s">
        <v>0</v>
      </c>
      <c r="B321" s="333"/>
      <c r="C321" s="330">
        <f>SUM(C314:C320)</f>
        <v>8400</v>
      </c>
      <c r="D321" s="335">
        <f>SUM(D314:D320)</f>
        <v>1360</v>
      </c>
      <c r="E321" s="330">
        <f>SUM(E314:E320)</f>
        <v>26472</v>
      </c>
    </row>
    <row r="322" spans="1:5" ht="19.5" hidden="1" thickTop="1">
      <c r="A322" s="323"/>
      <c r="B322" s="325"/>
      <c r="C322" s="405"/>
      <c r="E322" s="406"/>
    </row>
    <row r="323" spans="1:5" ht="18.75" hidden="1">
      <c r="A323" s="329" t="s">
        <v>466</v>
      </c>
      <c r="B323" s="351" t="s">
        <v>467</v>
      </c>
      <c r="C323" s="405"/>
      <c r="E323" s="322"/>
    </row>
    <row r="324" spans="1:5" ht="18.75" hidden="1">
      <c r="A324" s="321" t="s">
        <v>468</v>
      </c>
      <c r="B324" s="325" t="s">
        <v>469</v>
      </c>
      <c r="C324" s="322">
        <v>5000</v>
      </c>
      <c r="D324" s="327" t="s">
        <v>158</v>
      </c>
      <c r="E324" s="341">
        <v>277.08</v>
      </c>
    </row>
    <row r="325" spans="1:5" ht="18.75" hidden="1">
      <c r="A325" s="321"/>
      <c r="B325" s="325"/>
      <c r="C325" s="322"/>
      <c r="D325" s="322"/>
      <c r="E325" s="322"/>
    </row>
    <row r="326" spans="1:5" ht="19.5" hidden="1" thickBot="1">
      <c r="A326" s="334" t="s">
        <v>0</v>
      </c>
      <c r="B326" s="334"/>
      <c r="C326" s="330">
        <f>SUM(C324:C325)</f>
        <v>5000</v>
      </c>
      <c r="D326" s="335">
        <f>SUM(D324:D325)</f>
        <v>0</v>
      </c>
      <c r="E326" s="330">
        <f>SUM(E324:E325)</f>
        <v>277.08</v>
      </c>
    </row>
    <row r="327" spans="1:5" ht="19.5" hidden="1" thickTop="1">
      <c r="A327" s="329"/>
      <c r="B327" s="334"/>
      <c r="C327" s="331"/>
      <c r="E327" s="406"/>
    </row>
    <row r="328" spans="1:5" ht="18.75" hidden="1">
      <c r="A328" s="329" t="s">
        <v>471</v>
      </c>
      <c r="B328" s="351" t="s">
        <v>472</v>
      </c>
      <c r="C328" s="322"/>
      <c r="E328" s="322"/>
    </row>
    <row r="329" spans="1:5" ht="18.75" hidden="1">
      <c r="A329" s="324" t="s">
        <v>473</v>
      </c>
      <c r="B329" s="325" t="s">
        <v>474</v>
      </c>
      <c r="C329" s="322">
        <v>50000</v>
      </c>
      <c r="D329" s="341">
        <v>9000</v>
      </c>
      <c r="E329" s="341">
        <v>27000</v>
      </c>
    </row>
    <row r="330" spans="1:5" ht="18.75" hidden="1">
      <c r="A330" s="404"/>
      <c r="B330" s="325"/>
      <c r="C330" s="322"/>
      <c r="D330" s="400"/>
      <c r="E330" s="400"/>
    </row>
    <row r="331" spans="1:5" ht="19.5" hidden="1" thickBot="1">
      <c r="A331" s="319" t="s">
        <v>0</v>
      </c>
      <c r="B331" s="338"/>
      <c r="C331" s="330">
        <f>SUM(C329:C330)</f>
        <v>50000</v>
      </c>
      <c r="D331" s="330">
        <f>SUM(D329:D330)</f>
        <v>9000</v>
      </c>
      <c r="E331" s="330">
        <f>SUM(E329:E330)</f>
        <v>27000</v>
      </c>
    </row>
    <row r="332" spans="2:5" ht="18.75" hidden="1">
      <c r="B332" s="407"/>
      <c r="C332" s="408"/>
      <c r="D332" s="409"/>
      <c r="E332" s="317"/>
    </row>
    <row r="333" spans="1:5" ht="18.75" hidden="1">
      <c r="A333" s="812" t="s">
        <v>475</v>
      </c>
      <c r="B333" s="813"/>
      <c r="C333" s="813"/>
      <c r="D333" s="813"/>
      <c r="E333" s="813"/>
    </row>
    <row r="334" spans="1:5" ht="18.75" hidden="1">
      <c r="A334" s="807" t="s">
        <v>40</v>
      </c>
      <c r="B334" s="808"/>
      <c r="C334" s="808"/>
      <c r="D334" s="808"/>
      <c r="E334" s="809"/>
    </row>
    <row r="335" spans="1:5" ht="18.75" hidden="1">
      <c r="A335" s="145" t="s">
        <v>35</v>
      </c>
      <c r="B335" s="319" t="s">
        <v>133</v>
      </c>
      <c r="C335" s="319" t="s">
        <v>22</v>
      </c>
      <c r="D335" s="345" t="s">
        <v>134</v>
      </c>
      <c r="E335" s="345" t="s">
        <v>135</v>
      </c>
    </row>
    <row r="336" spans="1:5" ht="18.75" hidden="1">
      <c r="A336" s="339" t="s">
        <v>476</v>
      </c>
      <c r="B336" s="321"/>
      <c r="C336" s="321"/>
      <c r="D336" s="322"/>
      <c r="E336" s="350"/>
    </row>
    <row r="337" spans="1:5" ht="18.75" hidden="1">
      <c r="A337" s="334" t="s">
        <v>477</v>
      </c>
      <c r="B337" s="351" t="s">
        <v>478</v>
      </c>
      <c r="C337" s="321"/>
      <c r="D337" s="322"/>
      <c r="E337" s="322"/>
    </row>
    <row r="338" spans="1:5" ht="18.75" hidden="1">
      <c r="A338" s="321" t="s">
        <v>479</v>
      </c>
      <c r="B338" s="325" t="s">
        <v>480</v>
      </c>
      <c r="C338" s="332">
        <v>5000000</v>
      </c>
      <c r="D338" s="341">
        <v>104353.99</v>
      </c>
      <c r="E338" s="341">
        <v>937458.36</v>
      </c>
    </row>
    <row r="339" spans="1:5" ht="18.75" hidden="1">
      <c r="A339" s="321" t="s">
        <v>481</v>
      </c>
      <c r="B339" s="325" t="s">
        <v>482</v>
      </c>
      <c r="C339" s="341">
        <v>5000</v>
      </c>
      <c r="D339" s="327" t="s">
        <v>158</v>
      </c>
      <c r="E339" s="327" t="s">
        <v>158</v>
      </c>
    </row>
    <row r="340" spans="1:5" ht="18.75" hidden="1">
      <c r="A340" s="342" t="s">
        <v>483</v>
      </c>
      <c r="B340" s="325" t="s">
        <v>484</v>
      </c>
      <c r="C340" s="343">
        <v>120000</v>
      </c>
      <c r="D340" s="341">
        <v>35512.57</v>
      </c>
      <c r="E340" s="341">
        <v>62973.11</v>
      </c>
    </row>
    <row r="341" spans="1:5" ht="18.75" hidden="1">
      <c r="A341" s="342" t="s">
        <v>485</v>
      </c>
      <c r="B341" s="344" t="s">
        <v>486</v>
      </c>
      <c r="C341" s="343">
        <v>550000</v>
      </c>
      <c r="D341" s="341">
        <v>166344.86</v>
      </c>
      <c r="E341" s="341">
        <v>449775.31</v>
      </c>
    </row>
    <row r="342" spans="1:5" ht="18.75" hidden="1">
      <c r="A342" s="321" t="s">
        <v>487</v>
      </c>
      <c r="B342" s="325" t="s">
        <v>488</v>
      </c>
      <c r="C342" s="322">
        <v>5000</v>
      </c>
      <c r="D342" s="327" t="s">
        <v>158</v>
      </c>
      <c r="E342" s="327" t="s">
        <v>158</v>
      </c>
    </row>
    <row r="343" spans="1:5" ht="18.75" hidden="1">
      <c r="A343" s="321" t="s">
        <v>489</v>
      </c>
      <c r="B343" s="325" t="s">
        <v>490</v>
      </c>
      <c r="C343" s="322">
        <v>8000</v>
      </c>
      <c r="D343" s="327" t="s">
        <v>158</v>
      </c>
      <c r="E343" s="341">
        <v>2453.45</v>
      </c>
    </row>
    <row r="344" spans="1:5" ht="18.75" hidden="1">
      <c r="A344" s="321" t="s">
        <v>491</v>
      </c>
      <c r="B344" s="337">
        <v>1013</v>
      </c>
      <c r="C344" s="322">
        <v>100000</v>
      </c>
      <c r="D344" s="341">
        <v>6550</v>
      </c>
      <c r="E344" s="341">
        <v>102245</v>
      </c>
    </row>
    <row r="345" spans="1:5" ht="19.5" hidden="1" thickBot="1">
      <c r="A345" s="334" t="s">
        <v>0</v>
      </c>
      <c r="B345" s="340"/>
      <c r="C345" s="330">
        <f>SUM(C338:C344)</f>
        <v>5788000</v>
      </c>
      <c r="D345" s="335">
        <f>SUM(D338:D344)</f>
        <v>312761.42</v>
      </c>
      <c r="E345" s="335">
        <f>SUM(E338:E344)</f>
        <v>1554905.23</v>
      </c>
    </row>
    <row r="346" spans="1:5" ht="18.75" hidden="1">
      <c r="A346" s="334" t="s">
        <v>492</v>
      </c>
      <c r="B346" s="334">
        <v>2000</v>
      </c>
      <c r="C346" s="331"/>
      <c r="D346" s="331"/>
      <c r="E346" s="331"/>
    </row>
    <row r="347" spans="1:5" ht="18.75" hidden="1">
      <c r="A347" s="342" t="s">
        <v>155</v>
      </c>
      <c r="B347" s="337">
        <v>2002</v>
      </c>
      <c r="C347" s="322">
        <v>1164000</v>
      </c>
      <c r="D347" s="327" t="s">
        <v>158</v>
      </c>
      <c r="E347" s="341">
        <v>1309379</v>
      </c>
    </row>
    <row r="348" spans="1:5" ht="18.75" hidden="1">
      <c r="A348" s="342" t="s">
        <v>493</v>
      </c>
      <c r="B348" s="337">
        <v>2003</v>
      </c>
      <c r="C348" s="322">
        <v>150000</v>
      </c>
      <c r="D348" s="341">
        <v>75000</v>
      </c>
      <c r="E348" s="341">
        <v>90000</v>
      </c>
    </row>
    <row r="349" spans="1:5" ht="19.5" hidden="1" thickBot="1">
      <c r="A349" s="334" t="s">
        <v>0</v>
      </c>
      <c r="B349" s="337"/>
      <c r="C349" s="330">
        <f>SUM(C346:C348)</f>
        <v>1314000</v>
      </c>
      <c r="D349" s="335">
        <f>SUM(D347:D348)</f>
        <v>75000</v>
      </c>
      <c r="E349" s="335">
        <f>SUM(E347:E348)</f>
        <v>1399379</v>
      </c>
    </row>
    <row r="350" spans="1:5" ht="18.75" hidden="1">
      <c r="A350" s="334" t="s">
        <v>496</v>
      </c>
      <c r="B350" s="334">
        <v>3000</v>
      </c>
      <c r="C350" s="325"/>
      <c r="D350" s="327"/>
      <c r="E350" s="327"/>
    </row>
    <row r="351" spans="1:5" ht="18.75" hidden="1">
      <c r="A351" s="342" t="s">
        <v>497</v>
      </c>
      <c r="B351" s="337">
        <v>3002</v>
      </c>
      <c r="C351" s="325" t="s">
        <v>158</v>
      </c>
      <c r="D351" s="327" t="s">
        <v>158</v>
      </c>
      <c r="E351" s="341">
        <v>121325</v>
      </c>
    </row>
    <row r="352" spans="1:5" ht="18.75" hidden="1">
      <c r="A352" s="342" t="s">
        <v>498</v>
      </c>
      <c r="B352" s="337">
        <v>3002</v>
      </c>
      <c r="C352" s="325" t="s">
        <v>158</v>
      </c>
      <c r="D352" s="327" t="s">
        <v>158</v>
      </c>
      <c r="E352" s="341">
        <v>121000</v>
      </c>
    </row>
    <row r="353" spans="1:5" ht="18.75" hidden="1">
      <c r="A353" s="342" t="s">
        <v>499</v>
      </c>
      <c r="B353" s="337">
        <v>3002</v>
      </c>
      <c r="C353" s="325" t="s">
        <v>158</v>
      </c>
      <c r="D353" s="327" t="s">
        <v>158</v>
      </c>
      <c r="E353" s="341">
        <v>111600</v>
      </c>
    </row>
    <row r="354" spans="1:5" ht="18.75" hidden="1">
      <c r="A354" s="342" t="s">
        <v>508</v>
      </c>
      <c r="B354" s="337">
        <v>3002</v>
      </c>
      <c r="C354" s="325" t="s">
        <v>158</v>
      </c>
      <c r="D354" s="327" t="s">
        <v>158</v>
      </c>
      <c r="E354" s="341">
        <v>18000</v>
      </c>
    </row>
    <row r="355" spans="1:5" ht="18.75" hidden="1">
      <c r="A355" s="342" t="s">
        <v>509</v>
      </c>
      <c r="B355" s="337">
        <v>3002</v>
      </c>
      <c r="C355" s="325" t="s">
        <v>158</v>
      </c>
      <c r="D355" s="327" t="s">
        <v>158</v>
      </c>
      <c r="E355" s="341">
        <v>100000</v>
      </c>
    </row>
    <row r="356" spans="1:5" ht="18.75" hidden="1">
      <c r="A356" s="342" t="s">
        <v>510</v>
      </c>
      <c r="B356" s="337">
        <v>3002</v>
      </c>
      <c r="C356" s="325" t="s">
        <v>158</v>
      </c>
      <c r="D356" s="327" t="s">
        <v>158</v>
      </c>
      <c r="E356" s="341">
        <v>20000</v>
      </c>
    </row>
    <row r="357" spans="1:5" ht="18.75" hidden="1">
      <c r="A357" s="342" t="s">
        <v>511</v>
      </c>
      <c r="B357" s="337">
        <v>3006</v>
      </c>
      <c r="C357" s="325" t="s">
        <v>158</v>
      </c>
      <c r="D357" s="327" t="s">
        <v>158</v>
      </c>
      <c r="E357" s="327" t="s">
        <v>158</v>
      </c>
    </row>
    <row r="358" spans="1:5" ht="19.5" hidden="1" thickBot="1">
      <c r="A358" s="334" t="s">
        <v>0</v>
      </c>
      <c r="B358" s="340"/>
      <c r="C358" s="352" t="s">
        <v>158</v>
      </c>
      <c r="D358" s="335">
        <f>SUM(D356:D357)</f>
        <v>0</v>
      </c>
      <c r="E358" s="335">
        <f>SUM(E351:E357)</f>
        <v>491925</v>
      </c>
    </row>
    <row r="359" spans="1:5" ht="18.75" hidden="1">
      <c r="A359" s="334" t="s">
        <v>501</v>
      </c>
      <c r="B359" s="334">
        <v>900</v>
      </c>
      <c r="C359" s="331"/>
      <c r="D359" s="336"/>
      <c r="E359" s="331"/>
    </row>
    <row r="360" spans="1:5" ht="18.75" hidden="1">
      <c r="A360" s="342" t="s">
        <v>157</v>
      </c>
      <c r="B360" s="337">
        <v>902</v>
      </c>
      <c r="C360" s="325" t="s">
        <v>158</v>
      </c>
      <c r="D360" s="322">
        <v>1718.62</v>
      </c>
      <c r="E360" s="322">
        <v>18318.05</v>
      </c>
    </row>
    <row r="361" spans="1:5" ht="18.75" hidden="1">
      <c r="A361" s="342" t="s">
        <v>159</v>
      </c>
      <c r="B361" s="337">
        <v>903</v>
      </c>
      <c r="C361" s="325" t="s">
        <v>158</v>
      </c>
      <c r="D361" s="327" t="s">
        <v>158</v>
      </c>
      <c r="E361" s="322">
        <v>5000</v>
      </c>
    </row>
    <row r="362" spans="1:5" ht="18.75" hidden="1">
      <c r="A362" s="342" t="s">
        <v>257</v>
      </c>
      <c r="B362" s="337">
        <v>906</v>
      </c>
      <c r="C362" s="325" t="s">
        <v>158</v>
      </c>
      <c r="D362" s="322">
        <v>369.45</v>
      </c>
      <c r="E362" s="322">
        <v>677.15</v>
      </c>
    </row>
    <row r="363" spans="1:5" ht="18.75" hidden="1">
      <c r="A363" s="342" t="s">
        <v>502</v>
      </c>
      <c r="B363" s="337">
        <v>907</v>
      </c>
      <c r="C363" s="325" t="s">
        <v>158</v>
      </c>
      <c r="D363" s="322">
        <v>443.34</v>
      </c>
      <c r="E363" s="322">
        <v>812.58</v>
      </c>
    </row>
    <row r="364" spans="1:5" ht="19.5" hidden="1" thickBot="1">
      <c r="A364" s="334" t="s">
        <v>0</v>
      </c>
      <c r="B364" s="340"/>
      <c r="C364" s="352" t="s">
        <v>158</v>
      </c>
      <c r="D364" s="335">
        <f>SUM(D360:D363)</f>
        <v>2531.41</v>
      </c>
      <c r="E364" s="335">
        <f>SUM(E360:E363)</f>
        <v>24807.780000000002</v>
      </c>
    </row>
    <row r="365" spans="1:5" ht="20.25" hidden="1" thickBot="1" thickTop="1">
      <c r="A365" s="145" t="s">
        <v>161</v>
      </c>
      <c r="B365" s="355"/>
      <c r="C365" s="347">
        <f>C311+C321+C326+C331+C345+C349</f>
        <v>7268400</v>
      </c>
      <c r="D365" s="347">
        <f>D311+D321+D326+D331+D345+D349+D358+D364</f>
        <v>425291.04</v>
      </c>
      <c r="E365" s="347">
        <f>E311+E321+E326+E331+E345+E349+E358+E364</f>
        <v>3561283.36</v>
      </c>
    </row>
    <row r="366" ht="18.75" hidden="1"/>
    <row r="367" ht="18.75" hidden="1"/>
    <row r="368" ht="18.75" hidden="1"/>
    <row r="369" ht="18.75" hidden="1"/>
    <row r="370" ht="18.75" hidden="1"/>
    <row r="371" spans="1:5" ht="18.75" hidden="1">
      <c r="A371" s="810" t="s">
        <v>440</v>
      </c>
      <c r="B371" s="810"/>
      <c r="C371" s="810"/>
      <c r="D371" s="810"/>
      <c r="E371" s="810"/>
    </row>
    <row r="372" spans="1:5" ht="18.75" hidden="1">
      <c r="A372" s="810" t="s">
        <v>441</v>
      </c>
      <c r="B372" s="810"/>
      <c r="C372" s="810"/>
      <c r="D372" s="810"/>
      <c r="E372" s="810"/>
    </row>
    <row r="373" spans="1:5" ht="18.75" hidden="1">
      <c r="A373" s="811" t="s">
        <v>513</v>
      </c>
      <c r="B373" s="811"/>
      <c r="C373" s="811"/>
      <c r="D373" s="811"/>
      <c r="E373" s="811"/>
    </row>
    <row r="374" spans="1:5" ht="18.75" hidden="1">
      <c r="A374" s="316"/>
      <c r="B374" s="316"/>
      <c r="C374" s="316"/>
      <c r="D374" s="317"/>
      <c r="E374" s="317"/>
    </row>
    <row r="375" spans="1:5" ht="18.75" hidden="1">
      <c r="A375" s="315"/>
      <c r="B375" s="315"/>
      <c r="C375" s="315"/>
      <c r="D375" s="318"/>
      <c r="E375" s="318"/>
    </row>
    <row r="376" spans="1:5" ht="18.75" hidden="1">
      <c r="A376" s="807" t="s">
        <v>40</v>
      </c>
      <c r="B376" s="808"/>
      <c r="C376" s="808"/>
      <c r="D376" s="808"/>
      <c r="E376" s="809"/>
    </row>
    <row r="377" spans="1:5" ht="18.75" hidden="1">
      <c r="A377" s="319" t="s">
        <v>35</v>
      </c>
      <c r="B377" s="319" t="s">
        <v>133</v>
      </c>
      <c r="C377" s="319" t="s">
        <v>22</v>
      </c>
      <c r="D377" s="345" t="s">
        <v>134</v>
      </c>
      <c r="E377" s="345" t="s">
        <v>135</v>
      </c>
    </row>
    <row r="378" spans="1:5" ht="18.75" hidden="1">
      <c r="A378" s="320" t="s">
        <v>443</v>
      </c>
      <c r="B378" s="321"/>
      <c r="C378" s="321"/>
      <c r="D378" s="322"/>
      <c r="E378" s="322"/>
    </row>
    <row r="379" spans="1:5" ht="18.75" hidden="1">
      <c r="A379" s="329" t="s">
        <v>444</v>
      </c>
      <c r="B379" s="351" t="s">
        <v>445</v>
      </c>
      <c r="C379" s="321"/>
      <c r="D379" s="322"/>
      <c r="E379" s="322"/>
    </row>
    <row r="380" spans="1:5" ht="18.75" hidden="1">
      <c r="A380" s="324" t="s">
        <v>446</v>
      </c>
      <c r="B380" s="325" t="s">
        <v>447</v>
      </c>
      <c r="C380" s="326">
        <v>35000</v>
      </c>
      <c r="D380" s="341">
        <v>13326</v>
      </c>
      <c r="E380" s="341">
        <v>33244</v>
      </c>
    </row>
    <row r="381" spans="1:5" ht="18.75" hidden="1">
      <c r="A381" s="324" t="s">
        <v>448</v>
      </c>
      <c r="B381" s="325" t="s">
        <v>449</v>
      </c>
      <c r="C381" s="328">
        <v>38000</v>
      </c>
      <c r="D381" s="341">
        <v>10561.63</v>
      </c>
      <c r="E381" s="341">
        <v>22614.9</v>
      </c>
    </row>
    <row r="382" spans="1:5" ht="18.75" hidden="1">
      <c r="A382" s="324" t="s">
        <v>450</v>
      </c>
      <c r="B382" s="325" t="s">
        <v>451</v>
      </c>
      <c r="C382" s="328">
        <v>20000</v>
      </c>
      <c r="D382" s="341">
        <v>717</v>
      </c>
      <c r="E382" s="341">
        <v>2577</v>
      </c>
    </row>
    <row r="383" spans="1:5" ht="18.75" hidden="1">
      <c r="A383" s="324" t="s">
        <v>452</v>
      </c>
      <c r="B383" s="325" t="s">
        <v>453</v>
      </c>
      <c r="C383" s="328">
        <v>10000</v>
      </c>
      <c r="D383" s="341">
        <v>530</v>
      </c>
      <c r="E383" s="341">
        <v>3216</v>
      </c>
    </row>
    <row r="384" spans="1:5" ht="18.75" hidden="1">
      <c r="A384" s="324"/>
      <c r="B384" s="325"/>
      <c r="C384" s="399"/>
      <c r="D384" s="400"/>
      <c r="E384" s="401"/>
    </row>
    <row r="385" spans="1:5" ht="19.5" hidden="1" thickBot="1">
      <c r="A385" s="329" t="s">
        <v>0</v>
      </c>
      <c r="B385" s="323"/>
      <c r="C385" s="402">
        <f>SUM(C380:C384)</f>
        <v>103000</v>
      </c>
      <c r="D385" s="403">
        <f>SUM(D380:D384)</f>
        <v>25134.629999999997</v>
      </c>
      <c r="E385" s="402">
        <f>SUM(E380:E384)</f>
        <v>61651.9</v>
      </c>
    </row>
    <row r="386" spans="1:5" ht="18.75" hidden="1">
      <c r="A386" s="329"/>
      <c r="B386" s="323"/>
      <c r="C386" s="331"/>
      <c r="D386" s="331"/>
      <c r="E386" s="331"/>
    </row>
    <row r="387" spans="1:5" ht="18.75" hidden="1">
      <c r="A387" s="329" t="s">
        <v>454</v>
      </c>
      <c r="B387" s="351" t="s">
        <v>455</v>
      </c>
      <c r="C387" s="321"/>
      <c r="D387" s="322"/>
      <c r="E387" s="322"/>
    </row>
    <row r="388" spans="1:5" ht="18.75" hidden="1">
      <c r="A388" s="324" t="s">
        <v>457</v>
      </c>
      <c r="B388" s="325" t="s">
        <v>456</v>
      </c>
      <c r="C388" s="332">
        <v>3000</v>
      </c>
      <c r="D388" s="341">
        <v>954</v>
      </c>
      <c r="E388" s="341">
        <v>5406</v>
      </c>
    </row>
    <row r="389" spans="1:5" ht="18.75" hidden="1">
      <c r="A389" s="404" t="s">
        <v>458</v>
      </c>
      <c r="B389" s="325" t="s">
        <v>459</v>
      </c>
      <c r="C389" s="325" t="s">
        <v>158</v>
      </c>
      <c r="D389" s="341">
        <v>400</v>
      </c>
      <c r="E389" s="341">
        <v>800</v>
      </c>
    </row>
    <row r="390" spans="1:5" ht="18.75" hidden="1">
      <c r="A390" s="324" t="s">
        <v>460</v>
      </c>
      <c r="B390" s="325" t="s">
        <v>461</v>
      </c>
      <c r="C390" s="325" t="s">
        <v>158</v>
      </c>
      <c r="D390" s="327" t="s">
        <v>158</v>
      </c>
      <c r="E390" s="341">
        <v>17300</v>
      </c>
    </row>
    <row r="391" spans="1:5" ht="18.75" hidden="1">
      <c r="A391" s="404" t="s">
        <v>462</v>
      </c>
      <c r="B391" s="325" t="s">
        <v>463</v>
      </c>
      <c r="C391" s="322">
        <v>400</v>
      </c>
      <c r="D391" s="327" t="s">
        <v>158</v>
      </c>
      <c r="E391" s="327" t="s">
        <v>158</v>
      </c>
    </row>
    <row r="392" spans="1:5" ht="18.75" hidden="1">
      <c r="A392" s="324" t="s">
        <v>464</v>
      </c>
      <c r="B392" s="325" t="s">
        <v>465</v>
      </c>
      <c r="C392" s="322">
        <v>5000</v>
      </c>
      <c r="D392" s="341">
        <v>600</v>
      </c>
      <c r="E392" s="341">
        <v>900</v>
      </c>
    </row>
    <row r="393" spans="1:5" ht="18.75" hidden="1">
      <c r="A393" s="324" t="s">
        <v>504</v>
      </c>
      <c r="B393" s="325" t="s">
        <v>505</v>
      </c>
      <c r="C393" s="325" t="s">
        <v>158</v>
      </c>
      <c r="D393" s="327" t="s">
        <v>158</v>
      </c>
      <c r="E393" s="341">
        <v>4020</v>
      </c>
    </row>
    <row r="394" spans="1:5" ht="18.75" hidden="1">
      <c r="A394" s="404"/>
      <c r="B394" s="325"/>
      <c r="C394" s="322"/>
      <c r="D394" s="327"/>
      <c r="E394" s="327"/>
    </row>
    <row r="395" spans="1:5" ht="19.5" hidden="1" thickBot="1">
      <c r="A395" s="329" t="s">
        <v>0</v>
      </c>
      <c r="B395" s="333"/>
      <c r="C395" s="330">
        <f>SUM(C388:C394)</f>
        <v>8400</v>
      </c>
      <c r="D395" s="335">
        <f>SUM(D388:D394)</f>
        <v>1954</v>
      </c>
      <c r="E395" s="330">
        <f>SUM(E388:E394)</f>
        <v>28426</v>
      </c>
    </row>
    <row r="396" spans="1:5" ht="19.5" hidden="1" thickTop="1">
      <c r="A396" s="323"/>
      <c r="B396" s="325"/>
      <c r="C396" s="405"/>
      <c r="E396" s="406"/>
    </row>
    <row r="397" spans="1:5" ht="18.75" hidden="1">
      <c r="A397" s="329" t="s">
        <v>466</v>
      </c>
      <c r="B397" s="351" t="s">
        <v>467</v>
      </c>
      <c r="C397" s="405"/>
      <c r="E397" s="322"/>
    </row>
    <row r="398" spans="1:5" ht="18.75" hidden="1">
      <c r="A398" s="321" t="s">
        <v>468</v>
      </c>
      <c r="B398" s="325" t="s">
        <v>469</v>
      </c>
      <c r="C398" s="322">
        <v>5000</v>
      </c>
      <c r="D398" s="341">
        <v>7132.64</v>
      </c>
      <c r="E398" s="341">
        <v>7409.72</v>
      </c>
    </row>
    <row r="399" spans="1:5" ht="18.75" hidden="1">
      <c r="A399" s="321"/>
      <c r="B399" s="325"/>
      <c r="C399" s="322"/>
      <c r="D399" s="322"/>
      <c r="E399" s="322"/>
    </row>
    <row r="400" spans="1:5" ht="19.5" hidden="1" thickBot="1">
      <c r="A400" s="334" t="s">
        <v>0</v>
      </c>
      <c r="B400" s="334"/>
      <c r="C400" s="330">
        <f>SUM(C398:C399)</f>
        <v>5000</v>
      </c>
      <c r="D400" s="335">
        <f>SUM(D398:D399)</f>
        <v>7132.64</v>
      </c>
      <c r="E400" s="330">
        <f>SUM(E398:E399)</f>
        <v>7409.72</v>
      </c>
    </row>
    <row r="401" spans="1:5" ht="19.5" hidden="1" thickTop="1">
      <c r="A401" s="329"/>
      <c r="B401" s="334"/>
      <c r="C401" s="331"/>
      <c r="E401" s="406"/>
    </row>
    <row r="402" spans="1:5" ht="18.75" hidden="1">
      <c r="A402" s="329" t="s">
        <v>471</v>
      </c>
      <c r="B402" s="351" t="s">
        <v>472</v>
      </c>
      <c r="C402" s="322"/>
      <c r="E402" s="322"/>
    </row>
    <row r="403" spans="1:5" ht="18.75" hidden="1">
      <c r="A403" s="324" t="s">
        <v>473</v>
      </c>
      <c r="B403" s="325" t="s">
        <v>474</v>
      </c>
      <c r="C403" s="322">
        <v>50000</v>
      </c>
      <c r="D403" s="341">
        <v>16000</v>
      </c>
      <c r="E403" s="341">
        <v>43000</v>
      </c>
    </row>
    <row r="404" spans="1:5" ht="18.75" hidden="1">
      <c r="A404" s="404"/>
      <c r="B404" s="325"/>
      <c r="C404" s="322"/>
      <c r="D404" s="400"/>
      <c r="E404" s="400"/>
    </row>
    <row r="405" spans="1:5" ht="19.5" hidden="1" thickBot="1">
      <c r="A405" s="319" t="s">
        <v>0</v>
      </c>
      <c r="B405" s="338"/>
      <c r="C405" s="330">
        <f>SUM(C403:C404)</f>
        <v>50000</v>
      </c>
      <c r="D405" s="330">
        <f>SUM(D403:D404)</f>
        <v>16000</v>
      </c>
      <c r="E405" s="330">
        <f>SUM(E403:E404)</f>
        <v>43000</v>
      </c>
    </row>
    <row r="406" spans="2:5" ht="18.75" hidden="1">
      <c r="B406" s="407"/>
      <c r="C406" s="408"/>
      <c r="D406" s="409"/>
      <c r="E406" s="317"/>
    </row>
    <row r="407" spans="1:5" ht="18.75" hidden="1">
      <c r="A407" s="812" t="s">
        <v>475</v>
      </c>
      <c r="B407" s="813"/>
      <c r="C407" s="813"/>
      <c r="D407" s="813"/>
      <c r="E407" s="813"/>
    </row>
    <row r="408" spans="1:5" ht="18.75" hidden="1">
      <c r="A408" s="807" t="s">
        <v>40</v>
      </c>
      <c r="B408" s="808"/>
      <c r="C408" s="808"/>
      <c r="D408" s="808"/>
      <c r="E408" s="809"/>
    </row>
    <row r="409" spans="1:5" ht="18.75" hidden="1">
      <c r="A409" s="145" t="s">
        <v>35</v>
      </c>
      <c r="B409" s="319" t="s">
        <v>133</v>
      </c>
      <c r="C409" s="319" t="s">
        <v>22</v>
      </c>
      <c r="D409" s="345" t="s">
        <v>134</v>
      </c>
      <c r="E409" s="345" t="s">
        <v>135</v>
      </c>
    </row>
    <row r="410" spans="1:5" ht="18.75" hidden="1">
      <c r="A410" s="339" t="s">
        <v>476</v>
      </c>
      <c r="B410" s="321"/>
      <c r="C410" s="321"/>
      <c r="D410" s="322"/>
      <c r="E410" s="350"/>
    </row>
    <row r="411" spans="1:5" ht="18.75" hidden="1">
      <c r="A411" s="334" t="s">
        <v>477</v>
      </c>
      <c r="B411" s="351" t="s">
        <v>478</v>
      </c>
      <c r="C411" s="321"/>
      <c r="D411" s="322"/>
      <c r="E411" s="322"/>
    </row>
    <row r="412" spans="1:5" ht="18.75" hidden="1">
      <c r="A412" s="321" t="s">
        <v>479</v>
      </c>
      <c r="B412" s="325" t="s">
        <v>480</v>
      </c>
      <c r="C412" s="332">
        <v>5000000</v>
      </c>
      <c r="D412" s="341">
        <v>111173.04</v>
      </c>
      <c r="E412" s="341">
        <v>1048631.4</v>
      </c>
    </row>
    <row r="413" spans="1:5" ht="18.75" hidden="1">
      <c r="A413" s="321" t="s">
        <v>481</v>
      </c>
      <c r="B413" s="325" t="s">
        <v>482</v>
      </c>
      <c r="C413" s="341">
        <v>5000</v>
      </c>
      <c r="D413" s="327" t="s">
        <v>158</v>
      </c>
      <c r="E413" s="327" t="s">
        <v>158</v>
      </c>
    </row>
    <row r="414" spans="1:5" ht="18.75" hidden="1">
      <c r="A414" s="342" t="s">
        <v>483</v>
      </c>
      <c r="B414" s="325" t="s">
        <v>484</v>
      </c>
      <c r="C414" s="343">
        <v>120000</v>
      </c>
      <c r="D414" s="341">
        <v>35371.54</v>
      </c>
      <c r="E414" s="341">
        <v>98344.65</v>
      </c>
    </row>
    <row r="415" spans="1:5" ht="18.75" hidden="1">
      <c r="A415" s="342" t="s">
        <v>485</v>
      </c>
      <c r="B415" s="344" t="s">
        <v>486</v>
      </c>
      <c r="C415" s="343">
        <v>550000</v>
      </c>
      <c r="D415" s="341">
        <v>148588.24</v>
      </c>
      <c r="E415" s="341">
        <v>598363.55</v>
      </c>
    </row>
    <row r="416" spans="1:5" ht="18.75" hidden="1">
      <c r="A416" s="321" t="s">
        <v>487</v>
      </c>
      <c r="B416" s="325" t="s">
        <v>488</v>
      </c>
      <c r="C416" s="322">
        <v>5000</v>
      </c>
      <c r="D416" s="327" t="s">
        <v>158</v>
      </c>
      <c r="E416" s="327" t="s">
        <v>158</v>
      </c>
    </row>
    <row r="417" spans="1:5" ht="18.75" hidden="1">
      <c r="A417" s="321" t="s">
        <v>489</v>
      </c>
      <c r="B417" s="325" t="s">
        <v>490</v>
      </c>
      <c r="C417" s="322">
        <v>8000</v>
      </c>
      <c r="D417" s="327" t="s">
        <v>158</v>
      </c>
      <c r="E417" s="341">
        <v>2453.45</v>
      </c>
    </row>
    <row r="418" spans="1:5" ht="18.75" hidden="1">
      <c r="A418" s="321" t="s">
        <v>491</v>
      </c>
      <c r="B418" s="337">
        <v>1013</v>
      </c>
      <c r="C418" s="322">
        <v>100000</v>
      </c>
      <c r="D418" s="341">
        <v>17576</v>
      </c>
      <c r="E418" s="341">
        <v>119821</v>
      </c>
    </row>
    <row r="419" spans="1:5" ht="19.5" hidden="1" thickBot="1">
      <c r="A419" s="334" t="s">
        <v>0</v>
      </c>
      <c r="B419" s="340"/>
      <c r="C419" s="330">
        <f>SUM(C412:C418)</f>
        <v>5788000</v>
      </c>
      <c r="D419" s="335">
        <f>SUM(D412:D418)</f>
        <v>312708.81999999995</v>
      </c>
      <c r="E419" s="335">
        <f>SUM(E412:E418)</f>
        <v>1867614.0499999998</v>
      </c>
    </row>
    <row r="420" spans="1:5" ht="18.75" hidden="1">
      <c r="A420" s="334" t="s">
        <v>492</v>
      </c>
      <c r="B420" s="334">
        <v>2000</v>
      </c>
      <c r="C420" s="331"/>
      <c r="D420" s="331"/>
      <c r="E420" s="331"/>
    </row>
    <row r="421" spans="1:5" ht="18.75" hidden="1">
      <c r="A421" s="342" t="s">
        <v>155</v>
      </c>
      <c r="B421" s="337">
        <v>2002</v>
      </c>
      <c r="C421" s="322">
        <v>1164000</v>
      </c>
      <c r="D421" s="327" t="s">
        <v>158</v>
      </c>
      <c r="E421" s="341">
        <v>1309379</v>
      </c>
    </row>
    <row r="422" spans="1:5" ht="18.75" hidden="1">
      <c r="A422" s="342" t="s">
        <v>493</v>
      </c>
      <c r="B422" s="337">
        <v>2003</v>
      </c>
      <c r="C422" s="322">
        <v>150000</v>
      </c>
      <c r="D422" s="341">
        <v>30000</v>
      </c>
      <c r="E422" s="341">
        <v>120000</v>
      </c>
    </row>
    <row r="423" spans="1:5" ht="19.5" hidden="1" thickBot="1">
      <c r="A423" s="334" t="s">
        <v>0</v>
      </c>
      <c r="B423" s="337"/>
      <c r="C423" s="330">
        <f>SUM(C420:C422)</f>
        <v>1314000</v>
      </c>
      <c r="D423" s="335">
        <f>SUM(D421:D422)</f>
        <v>30000</v>
      </c>
      <c r="E423" s="335">
        <f>SUM(E421:E422)</f>
        <v>1429379</v>
      </c>
    </row>
    <row r="424" spans="1:5" ht="18.75" hidden="1">
      <c r="A424" s="334" t="s">
        <v>496</v>
      </c>
      <c r="B424" s="334">
        <v>3000</v>
      </c>
      <c r="C424" s="325"/>
      <c r="D424" s="327"/>
      <c r="E424" s="327"/>
    </row>
    <row r="425" spans="1:5" ht="18.75" hidden="1">
      <c r="A425" s="342" t="s">
        <v>497</v>
      </c>
      <c r="B425" s="337">
        <v>3002</v>
      </c>
      <c r="C425" s="325" t="s">
        <v>158</v>
      </c>
      <c r="D425" s="327" t="s">
        <v>158</v>
      </c>
      <c r="E425" s="341">
        <v>121325</v>
      </c>
    </row>
    <row r="426" spans="1:5" ht="18.75" hidden="1">
      <c r="A426" s="342" t="s">
        <v>498</v>
      </c>
      <c r="B426" s="337">
        <v>3002</v>
      </c>
      <c r="C426" s="325" t="s">
        <v>158</v>
      </c>
      <c r="D426" s="327" t="s">
        <v>158</v>
      </c>
      <c r="E426" s="341">
        <v>121000</v>
      </c>
    </row>
    <row r="427" spans="1:5" ht="18.75" hidden="1">
      <c r="A427" s="342" t="s">
        <v>499</v>
      </c>
      <c r="B427" s="337">
        <v>3002</v>
      </c>
      <c r="C427" s="325" t="s">
        <v>158</v>
      </c>
      <c r="D427" s="327" t="s">
        <v>158</v>
      </c>
      <c r="E427" s="341">
        <v>111600</v>
      </c>
    </row>
    <row r="428" spans="1:5" ht="18.75" hidden="1">
      <c r="A428" s="342" t="s">
        <v>508</v>
      </c>
      <c r="B428" s="337">
        <v>3002</v>
      </c>
      <c r="C428" s="325" t="s">
        <v>158</v>
      </c>
      <c r="D428" s="327" t="s">
        <v>158</v>
      </c>
      <c r="E428" s="341">
        <v>18000</v>
      </c>
    </row>
    <row r="429" spans="1:5" ht="18.75" hidden="1">
      <c r="A429" s="342" t="s">
        <v>509</v>
      </c>
      <c r="B429" s="337">
        <v>3002</v>
      </c>
      <c r="C429" s="325" t="s">
        <v>158</v>
      </c>
      <c r="D429" s="327" t="s">
        <v>158</v>
      </c>
      <c r="E429" s="341">
        <v>100000</v>
      </c>
    </row>
    <row r="430" spans="1:5" ht="18.75" hidden="1">
      <c r="A430" s="342" t="s">
        <v>510</v>
      </c>
      <c r="B430" s="337">
        <v>3002</v>
      </c>
      <c r="C430" s="325" t="s">
        <v>158</v>
      </c>
      <c r="D430" s="327" t="s">
        <v>158</v>
      </c>
      <c r="E430" s="341">
        <v>20000</v>
      </c>
    </row>
    <row r="431" spans="1:5" ht="18.75" hidden="1">
      <c r="A431" s="342" t="s">
        <v>511</v>
      </c>
      <c r="B431" s="337">
        <v>3006</v>
      </c>
      <c r="C431" s="325" t="s">
        <v>158</v>
      </c>
      <c r="D431" s="327" t="s">
        <v>158</v>
      </c>
      <c r="E431" s="327" t="s">
        <v>158</v>
      </c>
    </row>
    <row r="432" spans="1:5" ht="19.5" hidden="1" thickBot="1">
      <c r="A432" s="334" t="s">
        <v>0</v>
      </c>
      <c r="B432" s="340"/>
      <c r="C432" s="352" t="s">
        <v>158</v>
      </c>
      <c r="D432" s="335">
        <f>SUM(D430:D431)</f>
        <v>0</v>
      </c>
      <c r="E432" s="335">
        <f>SUM(E425:E431)</f>
        <v>491925</v>
      </c>
    </row>
    <row r="433" spans="1:5" ht="18.75" hidden="1">
      <c r="A433" s="334" t="s">
        <v>501</v>
      </c>
      <c r="B433" s="334">
        <v>900</v>
      </c>
      <c r="C433" s="331"/>
      <c r="D433" s="336"/>
      <c r="E433" s="331"/>
    </row>
    <row r="434" spans="1:5" ht="18.75" hidden="1">
      <c r="A434" s="342" t="s">
        <v>157</v>
      </c>
      <c r="B434" s="337">
        <v>902</v>
      </c>
      <c r="C434" s="325" t="s">
        <v>158</v>
      </c>
      <c r="D434" s="322">
        <v>11359.01</v>
      </c>
      <c r="E434" s="322">
        <v>29677.06</v>
      </c>
    </row>
    <row r="435" spans="1:5" ht="18.75" hidden="1">
      <c r="A435" s="342" t="s">
        <v>159</v>
      </c>
      <c r="B435" s="337">
        <v>903</v>
      </c>
      <c r="C435" s="325" t="s">
        <v>158</v>
      </c>
      <c r="D435" s="322">
        <v>10000</v>
      </c>
      <c r="E435" s="322">
        <v>15000</v>
      </c>
    </row>
    <row r="436" spans="1:5" ht="18.75" hidden="1">
      <c r="A436" s="342" t="s">
        <v>257</v>
      </c>
      <c r="B436" s="337">
        <v>906</v>
      </c>
      <c r="C436" s="325" t="s">
        <v>158</v>
      </c>
      <c r="D436" s="322">
        <v>593.35</v>
      </c>
      <c r="E436" s="322">
        <v>1270.5</v>
      </c>
    </row>
    <row r="437" spans="1:5" ht="18.75" hidden="1">
      <c r="A437" s="342" t="s">
        <v>502</v>
      </c>
      <c r="B437" s="337">
        <v>907</v>
      </c>
      <c r="C437" s="325" t="s">
        <v>158</v>
      </c>
      <c r="D437" s="322">
        <v>712.02</v>
      </c>
      <c r="E437" s="322">
        <v>1524.6</v>
      </c>
    </row>
    <row r="438" spans="1:5" ht="18.75" hidden="1">
      <c r="A438" s="342" t="s">
        <v>160</v>
      </c>
      <c r="B438" s="337" t="s">
        <v>470</v>
      </c>
      <c r="C438" s="325" t="s">
        <v>158</v>
      </c>
      <c r="D438" s="322">
        <v>562.74</v>
      </c>
      <c r="E438" s="322">
        <v>562.74</v>
      </c>
    </row>
    <row r="439" spans="1:5" ht="19.5" hidden="1" thickBot="1">
      <c r="A439" s="334" t="s">
        <v>0</v>
      </c>
      <c r="B439" s="354"/>
      <c r="C439" s="352" t="s">
        <v>158</v>
      </c>
      <c r="D439" s="335">
        <f>SUM(D434:D438)</f>
        <v>23227.120000000003</v>
      </c>
      <c r="E439" s="335">
        <f>SUM(E434:E438)</f>
        <v>48034.899999999994</v>
      </c>
    </row>
    <row r="440" spans="1:5" ht="20.25" hidden="1" thickBot="1" thickTop="1">
      <c r="A440" s="145" t="s">
        <v>161</v>
      </c>
      <c r="B440" s="355"/>
      <c r="C440" s="347">
        <f>C385+C395+C400+C405+C419+C423</f>
        <v>7268400</v>
      </c>
      <c r="D440" s="347">
        <f>D385+D395+D400+D405+D419+D423+D432+D439</f>
        <v>416157.20999999996</v>
      </c>
      <c r="E440" s="347">
        <f>E385+E395+E400+E405+E419+E423+E432+E439</f>
        <v>3977440.57</v>
      </c>
    </row>
    <row r="441" ht="18.75" hidden="1"/>
    <row r="442" ht="18.75" hidden="1"/>
    <row r="443" ht="18.75" hidden="1"/>
    <row r="444" spans="1:5" ht="18.75" hidden="1">
      <c r="A444" s="810" t="s">
        <v>440</v>
      </c>
      <c r="B444" s="810"/>
      <c r="C444" s="810"/>
      <c r="D444" s="810"/>
      <c r="E444" s="810"/>
    </row>
    <row r="445" spans="1:5" ht="18.75" hidden="1">
      <c r="A445" s="810" t="s">
        <v>441</v>
      </c>
      <c r="B445" s="810"/>
      <c r="C445" s="810"/>
      <c r="D445" s="810"/>
      <c r="E445" s="810"/>
    </row>
    <row r="446" spans="1:5" ht="18.75" hidden="1">
      <c r="A446" s="811" t="s">
        <v>514</v>
      </c>
      <c r="B446" s="811"/>
      <c r="C446" s="811"/>
      <c r="D446" s="811"/>
      <c r="E446" s="811"/>
    </row>
    <row r="447" spans="1:5" ht="18.75" hidden="1">
      <c r="A447" s="316"/>
      <c r="B447" s="316"/>
      <c r="C447" s="316"/>
      <c r="D447" s="317"/>
      <c r="E447" s="317"/>
    </row>
    <row r="448" spans="1:5" ht="18.75" hidden="1">
      <c r="A448" s="315"/>
      <c r="B448" s="315"/>
      <c r="C448" s="315"/>
      <c r="D448" s="318"/>
      <c r="E448" s="318"/>
    </row>
    <row r="449" spans="1:5" ht="18.75" hidden="1">
      <c r="A449" s="807" t="s">
        <v>40</v>
      </c>
      <c r="B449" s="808"/>
      <c r="C449" s="808"/>
      <c r="D449" s="808"/>
      <c r="E449" s="809"/>
    </row>
    <row r="450" spans="1:5" ht="18.75" hidden="1">
      <c r="A450" s="319" t="s">
        <v>35</v>
      </c>
      <c r="B450" s="319" t="s">
        <v>133</v>
      </c>
      <c r="C450" s="319" t="s">
        <v>22</v>
      </c>
      <c r="D450" s="345" t="s">
        <v>134</v>
      </c>
      <c r="E450" s="345" t="s">
        <v>135</v>
      </c>
    </row>
    <row r="451" spans="1:5" ht="18.75" hidden="1">
      <c r="A451" s="320" t="s">
        <v>443</v>
      </c>
      <c r="B451" s="321"/>
      <c r="C451" s="321"/>
      <c r="D451" s="322"/>
      <c r="E451" s="322"/>
    </row>
    <row r="452" spans="1:5" ht="18.75" hidden="1">
      <c r="A452" s="329" t="s">
        <v>444</v>
      </c>
      <c r="B452" s="351" t="s">
        <v>445</v>
      </c>
      <c r="C452" s="321"/>
      <c r="D452" s="322"/>
      <c r="E452" s="322"/>
    </row>
    <row r="453" spans="1:5" ht="18.75" hidden="1">
      <c r="A453" s="324" t="s">
        <v>446</v>
      </c>
      <c r="B453" s="325" t="s">
        <v>447</v>
      </c>
      <c r="C453" s="326">
        <v>35000</v>
      </c>
      <c r="D453" s="327" t="s">
        <v>158</v>
      </c>
      <c r="E453" s="341">
        <v>33244</v>
      </c>
    </row>
    <row r="454" spans="1:5" ht="18.75" hidden="1">
      <c r="A454" s="324" t="s">
        <v>448</v>
      </c>
      <c r="B454" s="325" t="s">
        <v>449</v>
      </c>
      <c r="C454" s="328">
        <v>38000</v>
      </c>
      <c r="D454" s="341">
        <v>2733.19</v>
      </c>
      <c r="E454" s="341">
        <v>25348.09</v>
      </c>
    </row>
    <row r="455" spans="1:5" ht="18.75" hidden="1">
      <c r="A455" s="324" t="s">
        <v>450</v>
      </c>
      <c r="B455" s="325" t="s">
        <v>451</v>
      </c>
      <c r="C455" s="328">
        <v>20000</v>
      </c>
      <c r="D455" s="341">
        <v>9461.48</v>
      </c>
      <c r="E455" s="341">
        <v>12038.48</v>
      </c>
    </row>
    <row r="456" spans="1:5" ht="18.75" hidden="1">
      <c r="A456" s="324" t="s">
        <v>452</v>
      </c>
      <c r="B456" s="325" t="s">
        <v>453</v>
      </c>
      <c r="C456" s="328">
        <v>10000</v>
      </c>
      <c r="D456" s="341">
        <v>168</v>
      </c>
      <c r="E456" s="341">
        <v>3384</v>
      </c>
    </row>
    <row r="457" spans="1:5" ht="18.75" hidden="1">
      <c r="A457" s="324"/>
      <c r="B457" s="325"/>
      <c r="C457" s="399"/>
      <c r="D457" s="400"/>
      <c r="E457" s="401"/>
    </row>
    <row r="458" spans="1:5" ht="19.5" hidden="1" thickBot="1">
      <c r="A458" s="329" t="s">
        <v>0</v>
      </c>
      <c r="B458" s="323"/>
      <c r="C458" s="402">
        <f>SUM(C453:C457)</f>
        <v>103000</v>
      </c>
      <c r="D458" s="403">
        <f>SUM(D453:D457)</f>
        <v>12362.67</v>
      </c>
      <c r="E458" s="402">
        <f>SUM(E453:E457)</f>
        <v>74014.56999999999</v>
      </c>
    </row>
    <row r="459" spans="1:5" ht="18.75" hidden="1">
      <c r="A459" s="329"/>
      <c r="B459" s="323"/>
      <c r="C459" s="331"/>
      <c r="D459" s="331"/>
      <c r="E459" s="331"/>
    </row>
    <row r="460" spans="1:5" ht="18.75" hidden="1">
      <c r="A460" s="329" t="s">
        <v>454</v>
      </c>
      <c r="B460" s="351" t="s">
        <v>455</v>
      </c>
      <c r="C460" s="321"/>
      <c r="D460" s="322"/>
      <c r="E460" s="322"/>
    </row>
    <row r="461" spans="1:5" ht="18.75" hidden="1">
      <c r="A461" s="324" t="s">
        <v>457</v>
      </c>
      <c r="B461" s="325" t="s">
        <v>456</v>
      </c>
      <c r="C461" s="332">
        <v>3000</v>
      </c>
      <c r="D461" s="341">
        <v>210</v>
      </c>
      <c r="E461" s="341">
        <v>5616</v>
      </c>
    </row>
    <row r="462" spans="1:5" ht="18.75" hidden="1">
      <c r="A462" s="404" t="s">
        <v>458</v>
      </c>
      <c r="B462" s="325" t="s">
        <v>459</v>
      </c>
      <c r="C462" s="325" t="s">
        <v>158</v>
      </c>
      <c r="D462" s="327" t="s">
        <v>158</v>
      </c>
      <c r="E462" s="341">
        <v>800</v>
      </c>
    </row>
    <row r="463" spans="1:5" ht="18.75" hidden="1">
      <c r="A463" s="324" t="s">
        <v>460</v>
      </c>
      <c r="B463" s="325" t="s">
        <v>461</v>
      </c>
      <c r="C463" s="325" t="s">
        <v>158</v>
      </c>
      <c r="D463" s="327" t="s">
        <v>158</v>
      </c>
      <c r="E463" s="341">
        <v>17300</v>
      </c>
    </row>
    <row r="464" spans="1:5" ht="18.75" hidden="1">
      <c r="A464" s="404" t="s">
        <v>462</v>
      </c>
      <c r="B464" s="325" t="s">
        <v>463</v>
      </c>
      <c r="C464" s="322">
        <v>400</v>
      </c>
      <c r="D464" s="327" t="s">
        <v>158</v>
      </c>
      <c r="E464" s="327" t="s">
        <v>158</v>
      </c>
    </row>
    <row r="465" spans="1:5" ht="18.75" hidden="1">
      <c r="A465" s="324" t="s">
        <v>464</v>
      </c>
      <c r="B465" s="325" t="s">
        <v>465</v>
      </c>
      <c r="C465" s="322">
        <v>5000</v>
      </c>
      <c r="D465" s="327" t="s">
        <v>158</v>
      </c>
      <c r="E465" s="341">
        <v>900</v>
      </c>
    </row>
    <row r="466" spans="1:5" ht="18.75" hidden="1">
      <c r="A466" s="324" t="s">
        <v>504</v>
      </c>
      <c r="B466" s="325" t="s">
        <v>505</v>
      </c>
      <c r="C466" s="325" t="s">
        <v>158</v>
      </c>
      <c r="D466" s="327" t="s">
        <v>158</v>
      </c>
      <c r="E466" s="341">
        <v>4020</v>
      </c>
    </row>
    <row r="467" spans="1:5" ht="18.75" hidden="1">
      <c r="A467" s="404"/>
      <c r="B467" s="325"/>
      <c r="C467" s="322"/>
      <c r="D467" s="327"/>
      <c r="E467" s="327"/>
    </row>
    <row r="468" spans="1:5" ht="19.5" hidden="1" thickBot="1">
      <c r="A468" s="329" t="s">
        <v>0</v>
      </c>
      <c r="B468" s="333"/>
      <c r="C468" s="330">
        <f>SUM(C461:C467)</f>
        <v>8400</v>
      </c>
      <c r="D468" s="335">
        <f>SUM(D461:D467)</f>
        <v>210</v>
      </c>
      <c r="E468" s="330">
        <f>SUM(E461:E467)</f>
        <v>28636</v>
      </c>
    </row>
    <row r="469" spans="1:5" ht="19.5" hidden="1" thickTop="1">
      <c r="A469" s="323"/>
      <c r="B469" s="325"/>
      <c r="C469" s="405"/>
      <c r="E469" s="406"/>
    </row>
    <row r="470" spans="1:5" ht="18.75" hidden="1">
      <c r="A470" s="329" t="s">
        <v>466</v>
      </c>
      <c r="B470" s="351" t="s">
        <v>467</v>
      </c>
      <c r="C470" s="405"/>
      <c r="E470" s="322"/>
    </row>
    <row r="471" spans="1:5" ht="18.75" hidden="1">
      <c r="A471" s="321" t="s">
        <v>468</v>
      </c>
      <c r="B471" s="325" t="s">
        <v>469</v>
      </c>
      <c r="C471" s="322">
        <v>5000</v>
      </c>
      <c r="D471" s="327" t="s">
        <v>158</v>
      </c>
      <c r="E471" s="341">
        <v>7409.72</v>
      </c>
    </row>
    <row r="472" spans="1:5" ht="18.75" hidden="1">
      <c r="A472" s="321"/>
      <c r="B472" s="325"/>
      <c r="C472" s="322"/>
      <c r="D472" s="322"/>
      <c r="E472" s="322"/>
    </row>
    <row r="473" spans="1:5" ht="19.5" hidden="1" thickBot="1">
      <c r="A473" s="334" t="s">
        <v>0</v>
      </c>
      <c r="B473" s="334"/>
      <c r="C473" s="330">
        <f>SUM(C471:C472)</f>
        <v>5000</v>
      </c>
      <c r="D473" s="335">
        <f>SUM(D471:D472)</f>
        <v>0</v>
      </c>
      <c r="E473" s="330">
        <f>SUM(E471:E472)</f>
        <v>7409.72</v>
      </c>
    </row>
    <row r="474" spans="1:5" ht="19.5" hidden="1" thickTop="1">
      <c r="A474" s="329"/>
      <c r="B474" s="334"/>
      <c r="C474" s="331"/>
      <c r="E474" s="406"/>
    </row>
    <row r="475" spans="1:5" ht="18.75" hidden="1">
      <c r="A475" s="329" t="s">
        <v>471</v>
      </c>
      <c r="B475" s="351" t="s">
        <v>472</v>
      </c>
      <c r="C475" s="322"/>
      <c r="E475" s="322"/>
    </row>
    <row r="476" spans="1:5" ht="18.75" hidden="1">
      <c r="A476" s="324" t="s">
        <v>473</v>
      </c>
      <c r="B476" s="325" t="s">
        <v>474</v>
      </c>
      <c r="C476" s="322">
        <v>50000</v>
      </c>
      <c r="D476" s="341">
        <v>2000</v>
      </c>
      <c r="E476" s="341">
        <v>45000</v>
      </c>
    </row>
    <row r="477" spans="1:5" ht="18.75" hidden="1">
      <c r="A477" s="404"/>
      <c r="B477" s="325"/>
      <c r="C477" s="322"/>
      <c r="D477" s="400"/>
      <c r="E477" s="400"/>
    </row>
    <row r="478" spans="1:5" ht="19.5" hidden="1" thickBot="1">
      <c r="A478" s="319" t="s">
        <v>0</v>
      </c>
      <c r="B478" s="338"/>
      <c r="C478" s="330">
        <f>SUM(C476:C477)</f>
        <v>50000</v>
      </c>
      <c r="D478" s="330">
        <f>SUM(D476:D477)</f>
        <v>2000</v>
      </c>
      <c r="E478" s="330">
        <f>SUM(E476:E477)</f>
        <v>45000</v>
      </c>
    </row>
    <row r="479" spans="2:5" ht="18.75" hidden="1">
      <c r="B479" s="407"/>
      <c r="C479" s="408"/>
      <c r="D479" s="409"/>
      <c r="E479" s="317"/>
    </row>
    <row r="480" spans="2:5" ht="18.75" hidden="1">
      <c r="B480" s="356"/>
      <c r="C480" s="410"/>
      <c r="D480" s="409"/>
      <c r="E480" s="317"/>
    </row>
    <row r="481" spans="1:5" ht="18.75" hidden="1">
      <c r="A481" s="812" t="s">
        <v>475</v>
      </c>
      <c r="B481" s="813"/>
      <c r="C481" s="813"/>
      <c r="D481" s="813"/>
      <c r="E481" s="813"/>
    </row>
    <row r="482" spans="1:5" ht="18.75" hidden="1">
      <c r="A482" s="807" t="s">
        <v>40</v>
      </c>
      <c r="B482" s="808"/>
      <c r="C482" s="808"/>
      <c r="D482" s="808"/>
      <c r="E482" s="809"/>
    </row>
    <row r="483" spans="1:5" ht="18.75" hidden="1">
      <c r="A483" s="145" t="s">
        <v>35</v>
      </c>
      <c r="B483" s="319" t="s">
        <v>133</v>
      </c>
      <c r="C483" s="319" t="s">
        <v>22</v>
      </c>
      <c r="D483" s="345" t="s">
        <v>134</v>
      </c>
      <c r="E483" s="345" t="s">
        <v>135</v>
      </c>
    </row>
    <row r="484" spans="1:5" ht="18.75" hidden="1">
      <c r="A484" s="339" t="s">
        <v>476</v>
      </c>
      <c r="B484" s="321"/>
      <c r="C484" s="321"/>
      <c r="D484" s="322"/>
      <c r="E484" s="350"/>
    </row>
    <row r="485" spans="1:5" ht="18.75" hidden="1">
      <c r="A485" s="334" t="s">
        <v>477</v>
      </c>
      <c r="B485" s="351" t="s">
        <v>478</v>
      </c>
      <c r="C485" s="321"/>
      <c r="D485" s="322"/>
      <c r="E485" s="322"/>
    </row>
    <row r="486" spans="1:5" ht="18.75" hidden="1">
      <c r="A486" s="321" t="s">
        <v>479</v>
      </c>
      <c r="B486" s="325" t="s">
        <v>480</v>
      </c>
      <c r="C486" s="332">
        <v>5000000</v>
      </c>
      <c r="D486" s="327" t="s">
        <v>158</v>
      </c>
      <c r="E486" s="341">
        <v>1048631.4</v>
      </c>
    </row>
    <row r="487" spans="1:5" ht="18.75" hidden="1">
      <c r="A487" s="321" t="s">
        <v>481</v>
      </c>
      <c r="B487" s="325" t="s">
        <v>482</v>
      </c>
      <c r="C487" s="341">
        <v>5000</v>
      </c>
      <c r="D487" s="327" t="s">
        <v>158</v>
      </c>
      <c r="E487" s="327" t="s">
        <v>158</v>
      </c>
    </row>
    <row r="488" spans="1:5" ht="18.75" hidden="1">
      <c r="A488" s="342" t="s">
        <v>483</v>
      </c>
      <c r="B488" s="325" t="s">
        <v>484</v>
      </c>
      <c r="C488" s="343">
        <v>120000</v>
      </c>
      <c r="D488" s="327" t="s">
        <v>158</v>
      </c>
      <c r="E488" s="341">
        <v>98344.65</v>
      </c>
    </row>
    <row r="489" spans="1:5" ht="18.75" hidden="1">
      <c r="A489" s="342" t="s">
        <v>485</v>
      </c>
      <c r="B489" s="344" t="s">
        <v>486</v>
      </c>
      <c r="C489" s="343">
        <v>550000</v>
      </c>
      <c r="D489" s="327" t="s">
        <v>158</v>
      </c>
      <c r="E489" s="341">
        <v>598363.55</v>
      </c>
    </row>
    <row r="490" spans="1:5" ht="18.75" hidden="1">
      <c r="A490" s="321" t="s">
        <v>487</v>
      </c>
      <c r="B490" s="325" t="s">
        <v>488</v>
      </c>
      <c r="C490" s="322">
        <v>5000</v>
      </c>
      <c r="D490" s="327" t="s">
        <v>158</v>
      </c>
      <c r="E490" s="327" t="s">
        <v>158</v>
      </c>
    </row>
    <row r="491" spans="1:5" ht="18.75" hidden="1">
      <c r="A491" s="321" t="s">
        <v>489</v>
      </c>
      <c r="B491" s="325" t="s">
        <v>490</v>
      </c>
      <c r="C491" s="322">
        <v>8000</v>
      </c>
      <c r="D491" s="341">
        <v>3511.13</v>
      </c>
      <c r="E491" s="341">
        <v>5964.58</v>
      </c>
    </row>
    <row r="492" spans="1:5" ht="18.75" hidden="1">
      <c r="A492" s="321" t="s">
        <v>491</v>
      </c>
      <c r="B492" s="337">
        <v>1013</v>
      </c>
      <c r="C492" s="322">
        <v>100000</v>
      </c>
      <c r="D492" s="341">
        <v>99280</v>
      </c>
      <c r="E492" s="341">
        <v>219101</v>
      </c>
    </row>
    <row r="493" spans="1:5" ht="19.5" hidden="1" thickBot="1">
      <c r="A493" s="334" t="s">
        <v>0</v>
      </c>
      <c r="B493" s="340"/>
      <c r="C493" s="330">
        <f>SUM(C486:C492)</f>
        <v>5788000</v>
      </c>
      <c r="D493" s="335">
        <f>SUM(D486:D492)</f>
        <v>102791.13</v>
      </c>
      <c r="E493" s="335">
        <f>SUM(E486:E492)</f>
        <v>1970405.18</v>
      </c>
    </row>
    <row r="494" spans="1:5" ht="18.75" hidden="1">
      <c r="A494" s="334" t="s">
        <v>492</v>
      </c>
      <c r="B494" s="334">
        <v>2000</v>
      </c>
      <c r="C494" s="331"/>
      <c r="D494" s="331"/>
      <c r="E494" s="331"/>
    </row>
    <row r="495" spans="1:5" ht="18.75" hidden="1">
      <c r="A495" s="342" t="s">
        <v>155</v>
      </c>
      <c r="B495" s="337">
        <v>2002</v>
      </c>
      <c r="C495" s="322">
        <v>2088106</v>
      </c>
      <c r="D495" s="341">
        <v>778727</v>
      </c>
      <c r="E495" s="341">
        <v>2088106</v>
      </c>
    </row>
    <row r="496" spans="1:5" ht="18.75" hidden="1">
      <c r="A496" s="342" t="s">
        <v>493</v>
      </c>
      <c r="B496" s="337">
        <v>2003</v>
      </c>
      <c r="C496" s="322">
        <v>150000</v>
      </c>
      <c r="D496" s="341">
        <v>15000</v>
      </c>
      <c r="E496" s="341">
        <v>135000</v>
      </c>
    </row>
    <row r="497" spans="1:5" ht="19.5" hidden="1" thickBot="1">
      <c r="A497" s="334" t="s">
        <v>0</v>
      </c>
      <c r="B497" s="337"/>
      <c r="C497" s="330">
        <f>SUM(C494:C496)</f>
        <v>2238106</v>
      </c>
      <c r="D497" s="335">
        <f>SUM(D495:D496)</f>
        <v>793727</v>
      </c>
      <c r="E497" s="335">
        <f>SUM(E495:E496)</f>
        <v>2223106</v>
      </c>
    </row>
    <row r="498" spans="1:5" ht="18.75" hidden="1">
      <c r="A498" s="334" t="s">
        <v>496</v>
      </c>
      <c r="B498" s="334">
        <v>3000</v>
      </c>
      <c r="C498" s="325"/>
      <c r="D498" s="327"/>
      <c r="E498" s="327"/>
    </row>
    <row r="499" spans="1:5" ht="18.75" hidden="1">
      <c r="A499" s="342" t="s">
        <v>497</v>
      </c>
      <c r="B499" s="337">
        <v>3002</v>
      </c>
      <c r="C499" s="325" t="s">
        <v>158</v>
      </c>
      <c r="D499" s="327" t="s">
        <v>158</v>
      </c>
      <c r="E499" s="341">
        <v>121325</v>
      </c>
    </row>
    <row r="500" spans="1:5" ht="18.75" hidden="1">
      <c r="A500" s="342" t="s">
        <v>498</v>
      </c>
      <c r="B500" s="337">
        <v>3002</v>
      </c>
      <c r="C500" s="325" t="s">
        <v>158</v>
      </c>
      <c r="D500" s="327" t="s">
        <v>158</v>
      </c>
      <c r="E500" s="341">
        <v>121000</v>
      </c>
    </row>
    <row r="501" spans="1:5" ht="18.75" hidden="1">
      <c r="A501" s="342" t="s">
        <v>499</v>
      </c>
      <c r="B501" s="337">
        <v>3002</v>
      </c>
      <c r="C501" s="325" t="s">
        <v>158</v>
      </c>
      <c r="D501" s="327" t="s">
        <v>158</v>
      </c>
      <c r="E501" s="341">
        <v>111600</v>
      </c>
    </row>
    <row r="502" spans="1:5" ht="18.75" hidden="1">
      <c r="A502" s="342" t="s">
        <v>508</v>
      </c>
      <c r="B502" s="337">
        <v>3002</v>
      </c>
      <c r="C502" s="325" t="s">
        <v>158</v>
      </c>
      <c r="D502" s="327" t="s">
        <v>158</v>
      </c>
      <c r="E502" s="341">
        <v>18000</v>
      </c>
    </row>
    <row r="503" spans="1:5" ht="18.75" hidden="1">
      <c r="A503" s="342" t="s">
        <v>509</v>
      </c>
      <c r="B503" s="337">
        <v>3002</v>
      </c>
      <c r="C503" s="325" t="s">
        <v>158</v>
      </c>
      <c r="D503" s="327" t="s">
        <v>158</v>
      </c>
      <c r="E503" s="341">
        <v>100000</v>
      </c>
    </row>
    <row r="504" spans="1:5" ht="18.75" hidden="1">
      <c r="A504" s="342" t="s">
        <v>510</v>
      </c>
      <c r="B504" s="337">
        <v>3002</v>
      </c>
      <c r="C504" s="325" t="s">
        <v>158</v>
      </c>
      <c r="D504" s="327" t="s">
        <v>158</v>
      </c>
      <c r="E504" s="341">
        <v>20000</v>
      </c>
    </row>
    <row r="505" spans="1:5" ht="18.75" hidden="1">
      <c r="A505" s="342" t="s">
        <v>515</v>
      </c>
      <c r="B505" s="337">
        <v>3006</v>
      </c>
      <c r="C505" s="325" t="s">
        <v>158</v>
      </c>
      <c r="D505" s="341">
        <v>80000</v>
      </c>
      <c r="E505" s="341">
        <v>80000</v>
      </c>
    </row>
    <row r="506" spans="1:5" ht="19.5" hidden="1" thickBot="1">
      <c r="A506" s="334" t="s">
        <v>0</v>
      </c>
      <c r="B506" s="340"/>
      <c r="C506" s="352" t="s">
        <v>158</v>
      </c>
      <c r="D506" s="335">
        <f>SUM(D504:D505)</f>
        <v>80000</v>
      </c>
      <c r="E506" s="335">
        <f>SUM(E499:E505)</f>
        <v>571925</v>
      </c>
    </row>
    <row r="507" spans="1:5" ht="18.75" hidden="1">
      <c r="A507" s="334" t="s">
        <v>501</v>
      </c>
      <c r="B507" s="334">
        <v>900</v>
      </c>
      <c r="C507" s="331"/>
      <c r="D507" s="336"/>
      <c r="E507" s="331"/>
    </row>
    <row r="508" spans="1:5" ht="18.75" hidden="1">
      <c r="A508" s="342" t="s">
        <v>157</v>
      </c>
      <c r="B508" s="337">
        <v>902</v>
      </c>
      <c r="C508" s="325" t="s">
        <v>158</v>
      </c>
      <c r="D508" s="322">
        <v>2210.96</v>
      </c>
      <c r="E508" s="322">
        <v>31888.02</v>
      </c>
    </row>
    <row r="509" spans="1:5" ht="18.75" hidden="1">
      <c r="A509" s="342" t="s">
        <v>159</v>
      </c>
      <c r="B509" s="337"/>
      <c r="C509" s="325" t="s">
        <v>158</v>
      </c>
      <c r="D509" s="327" t="s">
        <v>158</v>
      </c>
      <c r="E509" s="322">
        <v>15000</v>
      </c>
    </row>
    <row r="510" spans="1:5" ht="18.75" hidden="1">
      <c r="A510" s="342" t="s">
        <v>257</v>
      </c>
      <c r="B510" s="337">
        <v>906</v>
      </c>
      <c r="C510" s="325" t="s">
        <v>158</v>
      </c>
      <c r="D510" s="322">
        <v>153.55</v>
      </c>
      <c r="E510" s="322">
        <v>1424.05</v>
      </c>
    </row>
    <row r="511" spans="1:5" ht="18.75" hidden="1">
      <c r="A511" s="342" t="s">
        <v>502</v>
      </c>
      <c r="B511" s="337">
        <v>907</v>
      </c>
      <c r="C511" s="325" t="s">
        <v>158</v>
      </c>
      <c r="D511" s="322">
        <v>184.26</v>
      </c>
      <c r="E511" s="322">
        <v>1708.86</v>
      </c>
    </row>
    <row r="512" spans="1:5" ht="18.75" hidden="1">
      <c r="A512" s="342" t="s">
        <v>160</v>
      </c>
      <c r="B512" s="337" t="s">
        <v>470</v>
      </c>
      <c r="C512" s="325" t="s">
        <v>158</v>
      </c>
      <c r="D512" s="327" t="s">
        <v>158</v>
      </c>
      <c r="E512" s="322">
        <v>562.74</v>
      </c>
    </row>
    <row r="513" spans="1:5" ht="19.5" hidden="1" thickBot="1">
      <c r="A513" s="334" t="s">
        <v>0</v>
      </c>
      <c r="B513" s="353"/>
      <c r="C513" s="352" t="s">
        <v>158</v>
      </c>
      <c r="D513" s="335">
        <f>SUM(D508:D512)</f>
        <v>2548.7700000000004</v>
      </c>
      <c r="E513" s="335">
        <f>SUM(E508:E512)</f>
        <v>50583.670000000006</v>
      </c>
    </row>
    <row r="514" spans="1:5" ht="18.75" hidden="1">
      <c r="A514" s="334" t="s">
        <v>516</v>
      </c>
      <c r="B514" s="337" t="s">
        <v>470</v>
      </c>
      <c r="C514" s="325"/>
      <c r="D514" s="322"/>
      <c r="E514" s="322"/>
    </row>
    <row r="515" spans="1:5" ht="18.75" hidden="1">
      <c r="A515" s="342" t="s">
        <v>517</v>
      </c>
      <c r="B515" s="337"/>
      <c r="C515" s="325"/>
      <c r="D515" s="322">
        <v>2000</v>
      </c>
      <c r="E515" s="322">
        <v>2000</v>
      </c>
    </row>
    <row r="516" spans="1:5" ht="19.5" hidden="1" thickBot="1">
      <c r="A516" s="334" t="s">
        <v>0</v>
      </c>
      <c r="B516" s="354"/>
      <c r="C516" s="352" t="s">
        <v>158</v>
      </c>
      <c r="D516" s="335">
        <f>SUM(D515)</f>
        <v>2000</v>
      </c>
      <c r="E516" s="335">
        <f>SUM(E515)</f>
        <v>2000</v>
      </c>
    </row>
    <row r="517" spans="1:5" ht="20.25" hidden="1" thickBot="1" thickTop="1">
      <c r="A517" s="145" t="s">
        <v>161</v>
      </c>
      <c r="B517" s="355"/>
      <c r="C517" s="347">
        <f>C458+C468+C473+C478+C493+C497</f>
        <v>8192506</v>
      </c>
      <c r="D517" s="347">
        <f>D458+D468+D478+D493+D497+D506+D513+D516</f>
        <v>995639.5700000001</v>
      </c>
      <c r="E517" s="347">
        <f>E458+E468+E473+E478+E493+E497+E506+E513+E516</f>
        <v>4973080.14</v>
      </c>
    </row>
    <row r="518" ht="18.75" hidden="1"/>
    <row r="519" ht="18.75" hidden="1"/>
    <row r="520" ht="18.75" hidden="1"/>
    <row r="521" spans="1:5" ht="18.75">
      <c r="A521" s="810" t="s">
        <v>217</v>
      </c>
      <c r="B521" s="810"/>
      <c r="C521" s="810"/>
      <c r="D521" s="810"/>
      <c r="E521" s="810"/>
    </row>
    <row r="522" spans="1:5" ht="18.75">
      <c r="A522" s="810" t="s">
        <v>132</v>
      </c>
      <c r="B522" s="810"/>
      <c r="C522" s="810"/>
      <c r="D522" s="810"/>
      <c r="E522" s="810"/>
    </row>
    <row r="523" spans="1:5" ht="18.75">
      <c r="A523" s="811" t="s">
        <v>315</v>
      </c>
      <c r="B523" s="811"/>
      <c r="C523" s="811"/>
      <c r="D523" s="811"/>
      <c r="E523" s="811"/>
    </row>
    <row r="524" spans="1:5" ht="18.75">
      <c r="A524" s="807" t="s">
        <v>40</v>
      </c>
      <c r="B524" s="808"/>
      <c r="C524" s="808"/>
      <c r="D524" s="808"/>
      <c r="E524" s="809"/>
    </row>
    <row r="525" spans="1:5" ht="18.75">
      <c r="A525" s="319" t="s">
        <v>35</v>
      </c>
      <c r="B525" s="319" t="s">
        <v>133</v>
      </c>
      <c r="C525" s="319" t="s">
        <v>22</v>
      </c>
      <c r="D525" s="345" t="s">
        <v>134</v>
      </c>
      <c r="E525" s="345" t="s">
        <v>135</v>
      </c>
    </row>
    <row r="526" spans="1:5" ht="18.75">
      <c r="A526" s="320" t="s">
        <v>412</v>
      </c>
      <c r="B526" s="321"/>
      <c r="C526" s="321"/>
      <c r="D526" s="322"/>
      <c r="E526" s="322"/>
    </row>
    <row r="527" spans="1:5" ht="18.75">
      <c r="A527" s="329" t="s">
        <v>413</v>
      </c>
      <c r="B527" s="351" t="s">
        <v>414</v>
      </c>
      <c r="C527" s="321"/>
      <c r="D527" s="322"/>
      <c r="E527" s="322"/>
    </row>
    <row r="528" spans="1:5" ht="18.75">
      <c r="A528" s="412" t="s">
        <v>136</v>
      </c>
      <c r="B528" s="361" t="s">
        <v>220</v>
      </c>
      <c r="C528" s="413">
        <f>100000</f>
        <v>100000</v>
      </c>
      <c r="D528" s="414">
        <v>9450</v>
      </c>
      <c r="E528" s="414">
        <f>450+1770+19795+25365+45638+2500+4613+5547+9450</f>
        <v>115128</v>
      </c>
    </row>
    <row r="529" spans="1:5" ht="18.75">
      <c r="A529" s="415" t="s">
        <v>137</v>
      </c>
      <c r="B529" s="366" t="s">
        <v>221</v>
      </c>
      <c r="C529" s="416">
        <f>52000</f>
        <v>52000</v>
      </c>
      <c r="D529" s="417">
        <v>1428.45</v>
      </c>
      <c r="E529" s="417">
        <f>SUM(62.3+7394.12+31754.31+2825.75+2534.72+5370.26+1211.29+952.3+506.41+1428.45)</f>
        <v>54039.91000000001</v>
      </c>
    </row>
    <row r="530" spans="1:5" ht="18.75">
      <c r="A530" s="415" t="s">
        <v>138</v>
      </c>
      <c r="B530" s="366" t="s">
        <v>222</v>
      </c>
      <c r="C530" s="416">
        <f>9400</f>
        <v>9400</v>
      </c>
      <c r="D530" s="418">
        <v>0</v>
      </c>
      <c r="E530" s="417">
        <f>504+1200+1200+4600+400+1556+440</f>
        <v>9900</v>
      </c>
    </row>
    <row r="531" spans="1:5" ht="18.75">
      <c r="A531" s="415" t="s">
        <v>139</v>
      </c>
      <c r="B531" s="366" t="s">
        <v>223</v>
      </c>
      <c r="C531" s="419">
        <v>600</v>
      </c>
      <c r="D531" s="420">
        <v>216</v>
      </c>
      <c r="E531" s="420">
        <f>120+324+180+216</f>
        <v>840</v>
      </c>
    </row>
    <row r="532" spans="1:5" ht="19.5" thickBot="1">
      <c r="A532" s="329" t="s">
        <v>0</v>
      </c>
      <c r="B532" s="323"/>
      <c r="C532" s="377">
        <f>SUM(C528:C531)</f>
        <v>162000</v>
      </c>
      <c r="D532" s="421">
        <f>D528+D529+D530+D531</f>
        <v>11094.45</v>
      </c>
      <c r="E532" s="421">
        <f>E528+E529+E530+E531</f>
        <v>179907.91</v>
      </c>
    </row>
    <row r="533" spans="1:5" ht="19.5" thickTop="1">
      <c r="A533" s="329" t="s">
        <v>140</v>
      </c>
      <c r="B533" s="351" t="s">
        <v>224</v>
      </c>
      <c r="C533" s="321"/>
      <c r="D533" s="322"/>
      <c r="E533" s="322"/>
    </row>
    <row r="534" spans="1:5" ht="18.75">
      <c r="A534" s="422" t="s">
        <v>141</v>
      </c>
      <c r="B534" s="361" t="s">
        <v>225</v>
      </c>
      <c r="C534" s="423">
        <v>700</v>
      </c>
      <c r="D534" s="424">
        <v>270</v>
      </c>
      <c r="E534" s="424">
        <f>150+405+225+270</f>
        <v>1050</v>
      </c>
    </row>
    <row r="535" spans="1:5" ht="18.75">
      <c r="A535" s="422" t="s">
        <v>605</v>
      </c>
      <c r="B535" s="361" t="s">
        <v>226</v>
      </c>
      <c r="C535" s="423">
        <v>2000</v>
      </c>
      <c r="D535" s="424">
        <v>0</v>
      </c>
      <c r="E535" s="424">
        <f>SUM(197.88+2017.6)</f>
        <v>2215.48</v>
      </c>
    </row>
    <row r="536" spans="1:5" ht="18.75">
      <c r="A536" s="422" t="s">
        <v>606</v>
      </c>
      <c r="B536" s="361" t="s">
        <v>227</v>
      </c>
      <c r="C536" s="439">
        <v>0</v>
      </c>
      <c r="D536" s="424">
        <v>0</v>
      </c>
      <c r="E536" s="424">
        <f>0</f>
        <v>0</v>
      </c>
    </row>
    <row r="537" spans="1:5" ht="18.75">
      <c r="A537" s="422" t="s">
        <v>607</v>
      </c>
      <c r="B537" s="361" t="s">
        <v>232</v>
      </c>
      <c r="C537" s="391">
        <v>100</v>
      </c>
      <c r="D537" s="424">
        <v>0</v>
      </c>
      <c r="E537" s="424">
        <f>10+20</f>
        <v>30</v>
      </c>
    </row>
    <row r="538" spans="1:5" ht="18.75">
      <c r="A538" s="422" t="s">
        <v>415</v>
      </c>
      <c r="B538" s="361" t="s">
        <v>228</v>
      </c>
      <c r="C538" s="391">
        <v>900</v>
      </c>
      <c r="D538" s="424">
        <v>100</v>
      </c>
      <c r="E538" s="424">
        <f>SUM(50+50+50+90+120+50+70+120+280+100)</f>
        <v>980</v>
      </c>
    </row>
    <row r="539" spans="1:5" ht="18.75">
      <c r="A539" s="425" t="s">
        <v>416</v>
      </c>
      <c r="B539" s="366" t="s">
        <v>230</v>
      </c>
      <c r="C539" s="367">
        <v>0</v>
      </c>
      <c r="D539" s="418">
        <v>0</v>
      </c>
      <c r="E539" s="417">
        <v>0</v>
      </c>
    </row>
    <row r="540" spans="1:5" ht="18.75">
      <c r="A540" s="422" t="s">
        <v>608</v>
      </c>
      <c r="B540" s="361" t="s">
        <v>231</v>
      </c>
      <c r="C540" s="391">
        <v>0</v>
      </c>
      <c r="D540" s="424">
        <v>0</v>
      </c>
      <c r="E540" s="424">
        <f>0</f>
        <v>0</v>
      </c>
    </row>
    <row r="541" spans="1:5" ht="18.75">
      <c r="A541" s="425" t="s">
        <v>609</v>
      </c>
      <c r="B541" s="366" t="s">
        <v>229</v>
      </c>
      <c r="C541" s="367">
        <v>1000</v>
      </c>
      <c r="D541" s="418">
        <v>0</v>
      </c>
      <c r="E541" s="417">
        <f>1120</f>
        <v>1120</v>
      </c>
    </row>
    <row r="542" spans="1:5" ht="18.75">
      <c r="A542" s="425" t="s">
        <v>610</v>
      </c>
      <c r="B542" s="366" t="s">
        <v>233</v>
      </c>
      <c r="C542" s="367">
        <v>14900</v>
      </c>
      <c r="D542" s="418">
        <v>300</v>
      </c>
      <c r="E542" s="418">
        <f>SUM(500+600+1200+3280+5700+1700+500+300+1200+360+300)</f>
        <v>15640</v>
      </c>
    </row>
    <row r="543" spans="1:5" ht="18.75">
      <c r="A543" s="425" t="s">
        <v>611</v>
      </c>
      <c r="B543" s="366" t="s">
        <v>417</v>
      </c>
      <c r="C543" s="367">
        <v>1200</v>
      </c>
      <c r="D543" s="418">
        <v>0</v>
      </c>
      <c r="E543" s="418">
        <f>1200</f>
        <v>1200</v>
      </c>
    </row>
    <row r="544" spans="1:5" ht="19.5" thickBot="1">
      <c r="A544" s="329" t="s">
        <v>0</v>
      </c>
      <c r="B544" s="333"/>
      <c r="C544" s="377">
        <f>SUM(C534:C543)</f>
        <v>20800</v>
      </c>
      <c r="D544" s="421">
        <f>SUM(D534:D543)</f>
        <v>670</v>
      </c>
      <c r="E544" s="427">
        <f>SUM(E534:E543)</f>
        <v>22235.48</v>
      </c>
    </row>
    <row r="545" spans="1:5" ht="19.5" thickTop="1">
      <c r="A545" s="329" t="s">
        <v>142</v>
      </c>
      <c r="B545" s="351" t="s">
        <v>234</v>
      </c>
      <c r="C545" s="405"/>
      <c r="E545" s="322"/>
    </row>
    <row r="546" spans="1:5" ht="18.75">
      <c r="A546" s="360" t="s">
        <v>143</v>
      </c>
      <c r="B546" s="361" t="s">
        <v>235</v>
      </c>
      <c r="C546" s="428">
        <v>44000</v>
      </c>
      <c r="D546" s="414">
        <v>11789.23</v>
      </c>
      <c r="E546" s="424">
        <f>9850.55+2441.01+16509.43+7693.35+7580.18+13739.45+11789.23</f>
        <v>69603.2</v>
      </c>
    </row>
    <row r="547" spans="1:5" ht="19.5" thickBot="1">
      <c r="A547" s="334"/>
      <c r="B547" s="334"/>
      <c r="C547" s="377">
        <f>SUM(C546:C546)</f>
        <v>44000</v>
      </c>
      <c r="D547" s="421">
        <f>D546</f>
        <v>11789.23</v>
      </c>
      <c r="E547" s="421">
        <f>SUM(E546:E546)</f>
        <v>69603.2</v>
      </c>
    </row>
    <row r="548" spans="1:5" ht="19.5" thickTop="1">
      <c r="A548" s="329" t="s">
        <v>144</v>
      </c>
      <c r="B548" s="351" t="s">
        <v>236</v>
      </c>
      <c r="C548" s="322"/>
      <c r="E548" s="322"/>
    </row>
    <row r="549" spans="1:5" ht="18.75">
      <c r="A549" s="422" t="s">
        <v>145</v>
      </c>
      <c r="B549" s="361" t="s">
        <v>237</v>
      </c>
      <c r="C549" s="414">
        <v>0</v>
      </c>
      <c r="D549" s="429">
        <v>0</v>
      </c>
      <c r="E549" s="414">
        <f>SUM(0)</f>
        <v>0</v>
      </c>
    </row>
    <row r="550" spans="1:5" ht="18.75">
      <c r="A550" s="415" t="s">
        <v>146</v>
      </c>
      <c r="B550" s="366" t="s">
        <v>238</v>
      </c>
      <c r="C550" s="430">
        <v>14000</v>
      </c>
      <c r="D550" s="418">
        <v>8000</v>
      </c>
      <c r="E550" s="417">
        <f>8000+6000+49000+8000</f>
        <v>71000</v>
      </c>
    </row>
    <row r="551" spans="1:5" ht="18.75">
      <c r="A551" s="415" t="s">
        <v>147</v>
      </c>
      <c r="B551" s="366" t="s">
        <v>239</v>
      </c>
      <c r="C551" s="368">
        <v>100</v>
      </c>
      <c r="D551" s="418">
        <v>2</v>
      </c>
      <c r="E551" s="418">
        <f>SUM(2+2+12+2+2)</f>
        <v>20</v>
      </c>
    </row>
    <row r="552" spans="1:5" ht="18.75">
      <c r="A552" s="415" t="s">
        <v>240</v>
      </c>
      <c r="B552" s="366" t="s">
        <v>241</v>
      </c>
      <c r="C552" s="368">
        <v>200</v>
      </c>
      <c r="D552" s="418">
        <v>0</v>
      </c>
      <c r="E552" s="418">
        <f>52+5+95+60</f>
        <v>212</v>
      </c>
    </row>
    <row r="553" spans="1:5" ht="18.75">
      <c r="A553" s="425" t="s">
        <v>418</v>
      </c>
      <c r="B553" s="366" t="s">
        <v>242</v>
      </c>
      <c r="C553" s="426">
        <v>14900</v>
      </c>
      <c r="D553" s="431">
        <v>0</v>
      </c>
      <c r="E553" s="432">
        <f>14000+900+400</f>
        <v>15300</v>
      </c>
    </row>
    <row r="554" spans="1:5" ht="19.5" thickBot="1">
      <c r="A554" s="334" t="s">
        <v>0</v>
      </c>
      <c r="B554" s="340"/>
      <c r="C554" s="378">
        <f>SUM(C550:C553)</f>
        <v>29200</v>
      </c>
      <c r="D554" s="421">
        <f>SUM(D549:D553)</f>
        <v>8002</v>
      </c>
      <c r="E554" s="421">
        <f>SUM(E549:E553)</f>
        <v>86532</v>
      </c>
    </row>
    <row r="555" spans="1:5" ht="24" customHeight="1" thickTop="1">
      <c r="A555" s="334" t="s">
        <v>148</v>
      </c>
      <c r="B555" s="351" t="s">
        <v>243</v>
      </c>
      <c r="C555" s="433"/>
      <c r="D555" s="433"/>
      <c r="E555" s="433"/>
    </row>
    <row r="556" spans="1:5" ht="24" customHeight="1">
      <c r="A556" s="360" t="s">
        <v>149</v>
      </c>
      <c r="B556" s="361" t="s">
        <v>244</v>
      </c>
      <c r="C556" s="434">
        <v>0</v>
      </c>
      <c r="D556" s="426">
        <v>0</v>
      </c>
      <c r="E556" s="426">
        <v>0</v>
      </c>
    </row>
    <row r="557" spans="1:5" ht="24" customHeight="1" thickBot="1">
      <c r="A557" s="334" t="s">
        <v>0</v>
      </c>
      <c r="B557" s="334"/>
      <c r="C557" s="435">
        <v>0</v>
      </c>
      <c r="D557" s="421">
        <f>SUM(D556)</f>
        <v>0</v>
      </c>
      <c r="E557" s="421">
        <f>SUM(E556)</f>
        <v>0</v>
      </c>
    </row>
    <row r="558" spans="1:5" ht="20.25" customHeight="1" thickTop="1">
      <c r="A558" s="334" t="s">
        <v>150</v>
      </c>
      <c r="B558" s="351" t="s">
        <v>245</v>
      </c>
      <c r="C558" s="334"/>
      <c r="D558" s="336"/>
      <c r="E558" s="336"/>
    </row>
    <row r="559" spans="1:5" ht="20.25" customHeight="1">
      <c r="A559" s="314" t="s">
        <v>151</v>
      </c>
      <c r="B559" s="361" t="s">
        <v>246</v>
      </c>
      <c r="C559" s="436">
        <v>155000</v>
      </c>
      <c r="D559" s="327">
        <v>20405</v>
      </c>
      <c r="E559" s="327">
        <f>SUM(13255+15830+13105+17785+12825+19345+16830+18650+17240+10185+11255+20405)</f>
        <v>186710</v>
      </c>
    </row>
    <row r="560" spans="1:5" ht="21" customHeight="1" thickBot="1">
      <c r="A560" s="334" t="s">
        <v>0</v>
      </c>
      <c r="B560" s="334"/>
      <c r="C560" s="378">
        <f>C559</f>
        <v>155000</v>
      </c>
      <c r="D560" s="379">
        <f>SUM(D559)</f>
        <v>20405</v>
      </c>
      <c r="E560" s="379">
        <f>SUM(E559)</f>
        <v>186710</v>
      </c>
    </row>
    <row r="561" spans="1:5" ht="21" customHeight="1" thickTop="1">
      <c r="A561" s="356"/>
      <c r="B561" s="356"/>
      <c r="C561" s="594"/>
      <c r="D561" s="317"/>
      <c r="E561" s="317"/>
    </row>
    <row r="562" spans="1:5" ht="21" customHeight="1">
      <c r="A562" s="313"/>
      <c r="B562" s="356"/>
      <c r="C562" s="357"/>
      <c r="D562" s="358"/>
      <c r="E562" s="316"/>
    </row>
    <row r="563" spans="1:5" ht="19.5" customHeight="1">
      <c r="A563" s="807" t="s">
        <v>40</v>
      </c>
      <c r="B563" s="808"/>
      <c r="C563" s="808"/>
      <c r="D563" s="808"/>
      <c r="E563" s="809"/>
    </row>
    <row r="564" spans="1:5" ht="22.5" customHeight="1">
      <c r="A564" s="145" t="s">
        <v>35</v>
      </c>
      <c r="B564" s="319" t="s">
        <v>133</v>
      </c>
      <c r="C564" s="319" t="s">
        <v>22</v>
      </c>
      <c r="D564" s="345" t="s">
        <v>134</v>
      </c>
      <c r="E564" s="345" t="s">
        <v>135</v>
      </c>
    </row>
    <row r="565" spans="1:5" ht="25.5" customHeight="1">
      <c r="A565" s="339" t="s">
        <v>152</v>
      </c>
      <c r="B565" s="321"/>
      <c r="C565" s="321"/>
      <c r="D565" s="322"/>
      <c r="E565" s="322"/>
    </row>
    <row r="566" spans="1:5" ht="19.5" customHeight="1">
      <c r="A566" s="334" t="s">
        <v>153</v>
      </c>
      <c r="B566" s="351" t="s">
        <v>247</v>
      </c>
      <c r="C566" s="321"/>
      <c r="D566" s="322"/>
      <c r="E566" s="322"/>
    </row>
    <row r="567" spans="1:5" ht="19.5" customHeight="1">
      <c r="A567" s="342" t="s">
        <v>419</v>
      </c>
      <c r="B567" s="325" t="s">
        <v>255</v>
      </c>
      <c r="C567" s="359">
        <v>0</v>
      </c>
      <c r="D567" s="375">
        <v>0</v>
      </c>
      <c r="E567" s="375">
        <v>0</v>
      </c>
    </row>
    <row r="568" spans="1:5" ht="19.5" customHeight="1">
      <c r="A568" s="360" t="s">
        <v>420</v>
      </c>
      <c r="B568" s="361"/>
      <c r="C568" s="362">
        <v>10331000</v>
      </c>
      <c r="D568" s="363"/>
      <c r="E568" s="364">
        <f>SUM(E569:E570)</f>
        <v>11256796.360000001</v>
      </c>
    </row>
    <row r="569" spans="1:5" ht="19.5" customHeight="1">
      <c r="A569" s="365" t="s">
        <v>421</v>
      </c>
      <c r="B569" s="366" t="s">
        <v>248</v>
      </c>
      <c r="C569" s="367">
        <v>0</v>
      </c>
      <c r="D569" s="368">
        <v>706498.74</v>
      </c>
      <c r="E569" s="367">
        <f>528513.24+504430.78+84802.72+2528292.92+3091905.73+1362532.64+811408.19+739427.05+706498.74</f>
        <v>10357812.010000002</v>
      </c>
    </row>
    <row r="570" spans="1:5" ht="19.5" customHeight="1">
      <c r="A570" s="365" t="s">
        <v>422</v>
      </c>
      <c r="B570" s="366" t="s">
        <v>249</v>
      </c>
      <c r="C570" s="367">
        <v>0</v>
      </c>
      <c r="D570" s="368">
        <v>88920.03</v>
      </c>
      <c r="E570" s="367">
        <f>55758.94+88843.14+76469.65+67379.43+85129.13+75766.64+70417.32+77386.71+73468.28+65274.86+74170.22+88920.03</f>
        <v>898984.3500000001</v>
      </c>
    </row>
    <row r="571" spans="1:5" ht="19.5" customHeight="1">
      <c r="A571" s="365" t="s">
        <v>423</v>
      </c>
      <c r="B571" s="366" t="s">
        <v>250</v>
      </c>
      <c r="C571" s="367">
        <v>8000</v>
      </c>
      <c r="D571" s="368">
        <v>10150.12</v>
      </c>
      <c r="E571" s="369">
        <f>5119.22+3170.92+10150.12</f>
        <v>18440.260000000002</v>
      </c>
    </row>
    <row r="572" spans="1:5" ht="19.5" customHeight="1">
      <c r="A572" s="370" t="s">
        <v>424</v>
      </c>
      <c r="B572" s="366" t="s">
        <v>251</v>
      </c>
      <c r="C572" s="371">
        <v>350000</v>
      </c>
      <c r="D572" s="368">
        <v>29879.49</v>
      </c>
      <c r="E572" s="369">
        <f>28950.92+35973.18+38746.12+39801.98+37936.62+29571.32+42054.51+35146.34+36916.15+33019.36+27891.33+29879.49</f>
        <v>415887.32</v>
      </c>
    </row>
    <row r="573" spans="1:5" ht="19.5" customHeight="1">
      <c r="A573" s="370" t="s">
        <v>425</v>
      </c>
      <c r="B573" s="372" t="s">
        <v>252</v>
      </c>
      <c r="C573" s="371">
        <v>780000</v>
      </c>
      <c r="D573" s="368">
        <v>64709.5</v>
      </c>
      <c r="E573" s="369">
        <f>74610.36+79391.01+64760.28+110406.28+80712.93+69065.38+84049.66+76859.41+68004.85+73813.99+62853.43+64709.5</f>
        <v>909237.0800000001</v>
      </c>
    </row>
    <row r="574" spans="1:5" ht="19.5" customHeight="1">
      <c r="A574" s="370" t="s">
        <v>426</v>
      </c>
      <c r="B574" s="372" t="s">
        <v>253</v>
      </c>
      <c r="C574" s="368">
        <v>15000</v>
      </c>
      <c r="D574" s="368">
        <v>0</v>
      </c>
      <c r="E574" s="369">
        <f>4311.51+6952.98+3847.45</f>
        <v>15111.939999999999</v>
      </c>
    </row>
    <row r="575" spans="1:5" ht="19.5" customHeight="1">
      <c r="A575" s="365" t="s">
        <v>427</v>
      </c>
      <c r="B575" s="366" t="s">
        <v>254</v>
      </c>
      <c r="C575" s="373">
        <v>38000</v>
      </c>
      <c r="D575" s="368">
        <v>0</v>
      </c>
      <c r="E575" s="369">
        <f>10618.28+7520.71+9768.21+10250.23</f>
        <v>38157.43</v>
      </c>
    </row>
    <row r="576" spans="1:5" ht="19.5" customHeight="1">
      <c r="A576" s="365" t="s">
        <v>428</v>
      </c>
      <c r="B576" s="374">
        <v>421015</v>
      </c>
      <c r="C576" s="373">
        <v>350000</v>
      </c>
      <c r="D576" s="367">
        <v>11018</v>
      </c>
      <c r="E576" s="367">
        <f>52842+1520+11407+25255+177476+30187+13796+40286+66960+11018</f>
        <v>430747</v>
      </c>
    </row>
    <row r="577" spans="1:5" ht="19.5" customHeight="1">
      <c r="A577" s="365" t="s">
        <v>429</v>
      </c>
      <c r="B577" s="374">
        <v>421017</v>
      </c>
      <c r="C577" s="375">
        <v>0</v>
      </c>
      <c r="D577" s="376">
        <v>0</v>
      </c>
      <c r="E577" s="376">
        <f>0</f>
        <v>0</v>
      </c>
    </row>
    <row r="578" spans="1:5" ht="21.75" customHeight="1" thickBot="1">
      <c r="A578" s="334" t="s">
        <v>0</v>
      </c>
      <c r="B578" s="340"/>
      <c r="C578" s="377">
        <f>SUM(C567:C577)</f>
        <v>11872000</v>
      </c>
      <c r="D578" s="378">
        <f>SUM(D569:D577)</f>
        <v>911175.88</v>
      </c>
      <c r="E578" s="379">
        <f>SUM(E569:E577)</f>
        <v>13084377.39</v>
      </c>
    </row>
    <row r="579" spans="1:5" ht="20.25" customHeight="1" thickTop="1">
      <c r="A579" s="334" t="s">
        <v>154</v>
      </c>
      <c r="B579" s="334">
        <v>430000</v>
      </c>
      <c r="C579" s="331"/>
      <c r="D579" s="331"/>
      <c r="E579" s="331"/>
    </row>
    <row r="580" spans="1:5" ht="20.25" customHeight="1">
      <c r="A580" s="342" t="s">
        <v>430</v>
      </c>
      <c r="B580" s="334"/>
      <c r="C580" s="331"/>
      <c r="D580" s="331"/>
      <c r="E580" s="331"/>
    </row>
    <row r="581" spans="1:5" ht="21.75" customHeight="1">
      <c r="A581" s="314" t="s">
        <v>155</v>
      </c>
      <c r="B581" s="380">
        <v>431000</v>
      </c>
      <c r="C581" s="375">
        <v>3390000</v>
      </c>
      <c r="D581" s="384">
        <v>0</v>
      </c>
      <c r="E581" s="384">
        <f>244093+3149661</f>
        <v>3393754</v>
      </c>
    </row>
    <row r="582" spans="1:5" ht="21.75" customHeight="1" thickBot="1">
      <c r="A582" s="314"/>
      <c r="B582" s="380"/>
      <c r="C582" s="603">
        <f>SUM(C581)</f>
        <v>3390000</v>
      </c>
      <c r="D582" s="604">
        <f>SUM(D581)</f>
        <v>0</v>
      </c>
      <c r="E582" s="604">
        <f>SUM(E581)</f>
        <v>3393754</v>
      </c>
    </row>
    <row r="583" spans="1:5" ht="21.75" customHeight="1" thickTop="1">
      <c r="A583" s="383" t="s">
        <v>431</v>
      </c>
      <c r="B583" s="380">
        <v>440000</v>
      </c>
      <c r="C583" s="381"/>
      <c r="D583" s="382"/>
      <c r="E583" s="382"/>
    </row>
    <row r="584" spans="1:5" ht="21.75" customHeight="1">
      <c r="A584" s="314" t="s">
        <v>432</v>
      </c>
      <c r="B584" s="380">
        <v>441001</v>
      </c>
      <c r="C584" s="381">
        <v>0</v>
      </c>
      <c r="D584" s="382">
        <v>0</v>
      </c>
      <c r="E584" s="382">
        <f>944400+944400</f>
        <v>1888800</v>
      </c>
    </row>
    <row r="585" spans="1:5" ht="21.75" customHeight="1">
      <c r="A585" s="314" t="s">
        <v>433</v>
      </c>
      <c r="B585" s="380">
        <v>441002</v>
      </c>
      <c r="C585" s="381">
        <v>0</v>
      </c>
      <c r="D585" s="382">
        <v>0</v>
      </c>
      <c r="E585" s="382">
        <f>117000+114000</f>
        <v>231000</v>
      </c>
    </row>
    <row r="586" spans="1:5" ht="21.75" customHeight="1">
      <c r="A586" s="370" t="s">
        <v>434</v>
      </c>
      <c r="B586" s="374">
        <v>441003</v>
      </c>
      <c r="C586" s="373">
        <v>0</v>
      </c>
      <c r="D586" s="368">
        <v>7050</v>
      </c>
      <c r="E586" s="368">
        <f>14100+7050+7050+7050+7050+14100+7050+7050+7050+7050</f>
        <v>84600</v>
      </c>
    </row>
    <row r="587" spans="1:5" ht="21.75" customHeight="1">
      <c r="A587" s="370" t="s">
        <v>435</v>
      </c>
      <c r="B587" s="374">
        <v>441004</v>
      </c>
      <c r="C587" s="373">
        <v>0</v>
      </c>
      <c r="D587" s="368">
        <v>12840</v>
      </c>
      <c r="E587" s="368">
        <f>17480+8740+8740+8740+8740+17480+12840+12840+12840+12840</f>
        <v>121280</v>
      </c>
    </row>
    <row r="588" spans="1:5" ht="21.75" customHeight="1">
      <c r="A588" s="370" t="s">
        <v>436</v>
      </c>
      <c r="B588" s="374">
        <v>441005</v>
      </c>
      <c r="C588" s="373">
        <v>0</v>
      </c>
      <c r="D588" s="368">
        <v>4110</v>
      </c>
      <c r="E588" s="368">
        <f>10920+16420+8210+8210+8210+8210+16420+4110+4110+4110+4110</f>
        <v>93040</v>
      </c>
    </row>
    <row r="589" spans="1:5" ht="21.75" customHeight="1">
      <c r="A589" s="370" t="s">
        <v>437</v>
      </c>
      <c r="B589" s="374">
        <v>441006</v>
      </c>
      <c r="C589" s="373">
        <v>0</v>
      </c>
      <c r="D589" s="368">
        <v>360</v>
      </c>
      <c r="E589" s="368">
        <f>1215+720+360+450+270+360+720+360+360+360+360</f>
        <v>5535</v>
      </c>
    </row>
    <row r="590" spans="1:5" ht="21.75" customHeight="1">
      <c r="A590" s="370" t="s">
        <v>438</v>
      </c>
      <c r="B590" s="337">
        <v>441007</v>
      </c>
      <c r="C590" s="375">
        <v>0</v>
      </c>
      <c r="D590" s="384">
        <v>0</v>
      </c>
      <c r="E590" s="384">
        <f>7000+3500</f>
        <v>10500</v>
      </c>
    </row>
    <row r="591" spans="1:5" ht="21.75" customHeight="1">
      <c r="A591" s="342" t="s">
        <v>439</v>
      </c>
      <c r="B591" s="337">
        <v>441008</v>
      </c>
      <c r="C591" s="375">
        <v>0</v>
      </c>
      <c r="D591" s="384">
        <v>1993555</v>
      </c>
      <c r="E591" s="384">
        <f>975000+24900+51000+1993555</f>
        <v>3044455</v>
      </c>
    </row>
    <row r="592" spans="1:7" ht="21.75" customHeight="1">
      <c r="A592" s="334" t="s">
        <v>0</v>
      </c>
      <c r="B592" s="337"/>
      <c r="C592" s="385">
        <f>SUM(C584:C591)</f>
        <v>0</v>
      </c>
      <c r="D592" s="386">
        <f>SUM(D584:D591)</f>
        <v>2017915</v>
      </c>
      <c r="E592" s="386">
        <f>SUM(E584:E591)</f>
        <v>5479210</v>
      </c>
      <c r="F592" s="437"/>
      <c r="G592" s="437"/>
    </row>
    <row r="593" spans="1:7" ht="21.75" customHeight="1" thickBot="1">
      <c r="A593" s="387" t="s">
        <v>156</v>
      </c>
      <c r="B593" s="388"/>
      <c r="C593" s="389">
        <f>SUM(C592+C582+C578+C560+C554+C547+C544+C532)</f>
        <v>15673000</v>
      </c>
      <c r="D593" s="390">
        <f>SUM(D592+D582+D578+D560+D557+D554+D547+D544+D532)</f>
        <v>2981051.56</v>
      </c>
      <c r="E593" s="390">
        <f>SUM(E592+E582+E578+E560+E557+E554+E547+E544+E532)</f>
        <v>22502329.98</v>
      </c>
      <c r="F593" s="437"/>
      <c r="G593" s="437"/>
    </row>
    <row r="594" spans="1:5" ht="20.25" thickBot="1" thickTop="1">
      <c r="A594" s="392" t="s">
        <v>161</v>
      </c>
      <c r="B594" s="393"/>
      <c r="C594" s="394">
        <f>C532+C544+C547+C554+C557+C560+C578+C582+C592</f>
        <v>15673000</v>
      </c>
      <c r="D594" s="395">
        <f>D532+D544+D547+D554+D557+D560+D578+D582+D592</f>
        <v>2981051.56</v>
      </c>
      <c r="E594" s="396">
        <f>E532+E544+E547+E554+E557+E560+E578+E582+E592</f>
        <v>22502329.98</v>
      </c>
    </row>
    <row r="595" spans="4:5" ht="19.5" thickTop="1">
      <c r="D595" s="397"/>
      <c r="E595" s="398"/>
    </row>
    <row r="603" ht="18.75">
      <c r="E603" s="438"/>
    </row>
    <row r="607" ht="18.75">
      <c r="E607" s="398"/>
    </row>
    <row r="609" spans="2:3" ht="18.75">
      <c r="B609" s="312" t="s">
        <v>518</v>
      </c>
      <c r="C609" s="349"/>
    </row>
    <row r="610" spans="1:3" ht="18.75">
      <c r="A610" s="311" t="s">
        <v>519</v>
      </c>
      <c r="C610" s="349"/>
    </row>
    <row r="611" spans="1:3" ht="18.75">
      <c r="A611" s="312" t="s">
        <v>520</v>
      </c>
      <c r="C611" s="349"/>
    </row>
    <row r="612" spans="1:3" ht="18.75">
      <c r="A612" s="311" t="s">
        <v>521</v>
      </c>
      <c r="C612" s="349"/>
    </row>
    <row r="613" spans="1:3" ht="18.75">
      <c r="A613" s="311" t="s">
        <v>522</v>
      </c>
      <c r="C613" s="349"/>
    </row>
    <row r="614" spans="1:3" ht="18.75">
      <c r="A614" s="312" t="s">
        <v>523</v>
      </c>
      <c r="C614" s="349"/>
    </row>
    <row r="615" spans="3:4" ht="18.75">
      <c r="C615" s="349"/>
      <c r="D615" s="348"/>
    </row>
    <row r="616" ht="18.75">
      <c r="C616" s="349"/>
    </row>
    <row r="617" ht="18.75">
      <c r="C617" s="349"/>
    </row>
    <row r="618" ht="18.75">
      <c r="C618" s="349"/>
    </row>
    <row r="619" ht="18.75">
      <c r="C619" s="349"/>
    </row>
    <row r="620" ht="18.75">
      <c r="C620" s="349"/>
    </row>
    <row r="621" ht="18.75">
      <c r="C621" s="349"/>
    </row>
    <row r="622" ht="18.75">
      <c r="C622" s="349"/>
    </row>
    <row r="623" ht="18.75">
      <c r="C623" s="349"/>
    </row>
    <row r="624" ht="18.75">
      <c r="C624" s="349"/>
    </row>
    <row r="625" ht="18.75">
      <c r="C625" s="349"/>
    </row>
    <row r="626" ht="18.75">
      <c r="C626" s="349"/>
    </row>
    <row r="627" ht="18.75">
      <c r="C627" s="349"/>
    </row>
  </sheetData>
  <sheetProtection/>
  <mergeCells count="47">
    <mergeCell ref="A446:E446"/>
    <mergeCell ref="A449:E449"/>
    <mergeCell ref="A523:E523"/>
    <mergeCell ref="A481:E481"/>
    <mergeCell ref="A482:E482"/>
    <mergeCell ref="A521:E521"/>
    <mergeCell ref="A522:E522"/>
    <mergeCell ref="A373:E373"/>
    <mergeCell ref="A376:E376"/>
    <mergeCell ref="A407:E407"/>
    <mergeCell ref="A408:E408"/>
    <mergeCell ref="A444:E444"/>
    <mergeCell ref="A445:E445"/>
    <mergeCell ref="A299:E299"/>
    <mergeCell ref="A302:E302"/>
    <mergeCell ref="A333:E333"/>
    <mergeCell ref="A334:E334"/>
    <mergeCell ref="A371:E371"/>
    <mergeCell ref="A372:E372"/>
    <mergeCell ref="A225:E225"/>
    <mergeCell ref="A228:E228"/>
    <mergeCell ref="A259:E259"/>
    <mergeCell ref="A260:E260"/>
    <mergeCell ref="A297:E297"/>
    <mergeCell ref="A298:E298"/>
    <mergeCell ref="A150:E150"/>
    <mergeCell ref="A154:E154"/>
    <mergeCell ref="A186:E186"/>
    <mergeCell ref="A187:E187"/>
    <mergeCell ref="A223:E223"/>
    <mergeCell ref="A224:E224"/>
    <mergeCell ref="A77:E77"/>
    <mergeCell ref="A81:E81"/>
    <mergeCell ref="A113:E113"/>
    <mergeCell ref="A114:E114"/>
    <mergeCell ref="A148:E148"/>
    <mergeCell ref="A149:E149"/>
    <mergeCell ref="A524:E524"/>
    <mergeCell ref="A563:E563"/>
    <mergeCell ref="A1:E1"/>
    <mergeCell ref="A2:E2"/>
    <mergeCell ref="A3:E3"/>
    <mergeCell ref="A7:E7"/>
    <mergeCell ref="A38:E38"/>
    <mergeCell ref="A39:E39"/>
    <mergeCell ref="A75:E75"/>
    <mergeCell ref="A76:E76"/>
  </mergeCells>
  <printOptions/>
  <pageMargins left="0.1968503937007874" right="0" top="0" bottom="0" header="0" footer="0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3">
      <selection activeCell="J84" sqref="A1:J84"/>
    </sheetView>
  </sheetViews>
  <sheetFormatPr defaultColWidth="9.140625" defaultRowHeight="21.75"/>
  <cols>
    <col min="1" max="1" width="3.8515625" style="204" customWidth="1"/>
    <col min="2" max="2" width="6.421875" style="204" customWidth="1"/>
    <col min="3" max="3" width="5.8515625" style="204" customWidth="1"/>
    <col min="4" max="4" width="19.421875" style="204" customWidth="1"/>
    <col min="5" max="6" width="9.140625" style="204" hidden="1" customWidth="1"/>
    <col min="7" max="7" width="6.8515625" style="204" customWidth="1"/>
    <col min="8" max="8" width="13.140625" style="204" customWidth="1"/>
    <col min="9" max="9" width="7.421875" style="204" customWidth="1"/>
    <col min="10" max="10" width="20.8515625" style="207" customWidth="1"/>
    <col min="11" max="11" width="16.7109375" style="204" customWidth="1"/>
    <col min="12" max="16384" width="9.140625" style="204" customWidth="1"/>
  </cols>
  <sheetData>
    <row r="1" spans="2:5" ht="21">
      <c r="B1" s="205" t="s">
        <v>379</v>
      </c>
      <c r="C1" s="206"/>
      <c r="D1" s="206"/>
      <c r="E1" s="206"/>
    </row>
    <row r="3" ht="19.5">
      <c r="A3" s="206" t="s">
        <v>129</v>
      </c>
    </row>
    <row r="4" ht="19.5">
      <c r="B4" s="206" t="s">
        <v>380</v>
      </c>
    </row>
    <row r="5" spans="3:10" ht="19.5">
      <c r="C5" s="204" t="s">
        <v>381</v>
      </c>
      <c r="J5" s="207">
        <v>4476239</v>
      </c>
    </row>
    <row r="6" spans="3:10" ht="19.5">
      <c r="C6" s="204" t="s">
        <v>382</v>
      </c>
      <c r="J6" s="207">
        <v>149950</v>
      </c>
    </row>
    <row r="7" spans="3:10" ht="19.5">
      <c r="C7" s="204" t="s">
        <v>383</v>
      </c>
      <c r="J7" s="207">
        <v>335260</v>
      </c>
    </row>
    <row r="8" ht="19.5">
      <c r="C8" s="204" t="s">
        <v>384</v>
      </c>
    </row>
    <row r="10" spans="7:10" ht="20.25" thickBot="1">
      <c r="G10" s="208"/>
      <c r="H10" s="208" t="s">
        <v>0</v>
      </c>
      <c r="J10" s="209">
        <f>SUM(J5:J9)</f>
        <v>4961449</v>
      </c>
    </row>
    <row r="11" ht="20.25" thickTop="1"/>
    <row r="13" ht="19.5">
      <c r="A13" s="206" t="s">
        <v>69</v>
      </c>
    </row>
    <row r="14" spans="1:2" ht="19.5">
      <c r="A14" s="206"/>
      <c r="B14" s="206" t="s">
        <v>385</v>
      </c>
    </row>
    <row r="15" spans="2:10" ht="19.5">
      <c r="B15" s="206"/>
      <c r="C15" s="204" t="s">
        <v>386</v>
      </c>
      <c r="H15" s="204" t="s">
        <v>130</v>
      </c>
      <c r="J15" s="207">
        <v>1003817.5</v>
      </c>
    </row>
    <row r="16" spans="7:10" ht="19.5">
      <c r="G16" s="210"/>
      <c r="J16" s="211"/>
    </row>
    <row r="18" spans="8:10" ht="20.25" thickBot="1">
      <c r="H18" s="208" t="s">
        <v>0</v>
      </c>
      <c r="J18" s="209">
        <f>J16+J15</f>
        <v>1003817.5</v>
      </c>
    </row>
    <row r="19" ht="20.25" thickTop="1"/>
    <row r="21" spans="1:10" ht="19.5">
      <c r="A21" s="206" t="s">
        <v>70</v>
      </c>
      <c r="G21" s="208"/>
      <c r="J21" s="212"/>
    </row>
    <row r="22" ht="19.5">
      <c r="B22" s="206" t="s">
        <v>387</v>
      </c>
    </row>
    <row r="23" spans="3:10" ht="19.5">
      <c r="C23" s="204" t="s">
        <v>381</v>
      </c>
      <c r="J23" s="207">
        <v>1158297.6</v>
      </c>
    </row>
    <row r="24" spans="3:10" ht="19.5">
      <c r="C24" s="204" t="s">
        <v>382</v>
      </c>
      <c r="J24" s="207">
        <v>712797</v>
      </c>
    </row>
    <row r="26" spans="8:10" ht="20.25" thickBot="1">
      <c r="H26" s="208" t="s">
        <v>0</v>
      </c>
      <c r="J26" s="209">
        <f>SUM(J23:J25)</f>
        <v>1871094.6</v>
      </c>
    </row>
    <row r="27" spans="8:10" ht="20.25" thickTop="1">
      <c r="H27" s="208"/>
      <c r="J27" s="212"/>
    </row>
    <row r="28" spans="8:10" ht="19.5">
      <c r="H28" s="208"/>
      <c r="J28" s="212"/>
    </row>
    <row r="29" spans="1:10" ht="19.5">
      <c r="A29" s="206" t="s">
        <v>77</v>
      </c>
      <c r="G29" s="208"/>
      <c r="J29" s="212"/>
    </row>
    <row r="30" ht="19.5">
      <c r="B30" s="206" t="s">
        <v>388</v>
      </c>
    </row>
    <row r="31" spans="3:10" ht="19.5">
      <c r="C31" s="204" t="s">
        <v>381</v>
      </c>
      <c r="J31" s="207">
        <v>722407.32</v>
      </c>
    </row>
    <row r="32" spans="3:10" ht="19.5">
      <c r="C32" s="204" t="s">
        <v>382</v>
      </c>
      <c r="J32" s="207">
        <v>67128.62</v>
      </c>
    </row>
    <row r="33" spans="3:10" ht="19.5">
      <c r="C33" s="204" t="s">
        <v>389</v>
      </c>
      <c r="J33" s="207">
        <v>18000</v>
      </c>
    </row>
    <row r="35" spans="8:10" ht="20.25" thickBot="1">
      <c r="H35" s="208" t="s">
        <v>0</v>
      </c>
      <c r="J35" s="209">
        <f>SUM(J31:J34)</f>
        <v>807535.94</v>
      </c>
    </row>
    <row r="36" spans="8:10" ht="20.25" thickTop="1">
      <c r="H36" s="208"/>
      <c r="J36" s="212"/>
    </row>
    <row r="37" spans="8:10" ht="19.5">
      <c r="H37" s="208"/>
      <c r="J37" s="212"/>
    </row>
    <row r="38" spans="1:10" ht="19.5">
      <c r="A38" s="206" t="s">
        <v>390</v>
      </c>
      <c r="G38" s="208"/>
      <c r="J38" s="212"/>
    </row>
    <row r="39" ht="19.5">
      <c r="B39" s="206" t="s">
        <v>391</v>
      </c>
    </row>
    <row r="40" spans="3:10" ht="19.5">
      <c r="C40" s="204" t="s">
        <v>381</v>
      </c>
      <c r="J40" s="207">
        <v>156400</v>
      </c>
    </row>
    <row r="41" spans="3:10" ht="19.5">
      <c r="C41" s="204" t="s">
        <v>382</v>
      </c>
      <c r="J41" s="207">
        <v>14600</v>
      </c>
    </row>
    <row r="43" spans="8:10" ht="20.25" thickBot="1">
      <c r="H43" s="208" t="s">
        <v>0</v>
      </c>
      <c r="J43" s="209">
        <f>SUM(J40:J42)</f>
        <v>171000</v>
      </c>
    </row>
    <row r="44" ht="20.25" thickTop="1">
      <c r="A44" s="206" t="s">
        <v>392</v>
      </c>
    </row>
    <row r="45" ht="19.5">
      <c r="B45" s="206" t="s">
        <v>393</v>
      </c>
    </row>
    <row r="46" spans="3:10" ht="19.5">
      <c r="C46" s="204" t="s">
        <v>386</v>
      </c>
      <c r="J46" s="207">
        <v>272269</v>
      </c>
    </row>
    <row r="47" spans="3:10" ht="19.5">
      <c r="C47" s="204" t="s">
        <v>394</v>
      </c>
      <c r="J47" s="207">
        <v>230286</v>
      </c>
    </row>
    <row r="48" ht="19.5">
      <c r="C48" s="204" t="s">
        <v>395</v>
      </c>
    </row>
    <row r="49" spans="4:8" ht="19.5">
      <c r="D49" s="204" t="s">
        <v>396</v>
      </c>
      <c r="H49" s="207">
        <v>1775400</v>
      </c>
    </row>
    <row r="50" spans="4:8" ht="19.5">
      <c r="D50" s="204" t="s">
        <v>397</v>
      </c>
      <c r="H50" s="207">
        <v>206000</v>
      </c>
    </row>
    <row r="51" spans="4:10" ht="19.5">
      <c r="D51" s="204" t="s">
        <v>398</v>
      </c>
      <c r="H51" s="213">
        <v>7392</v>
      </c>
      <c r="J51" s="207">
        <f>H51+H50+H49</f>
        <v>1988792</v>
      </c>
    </row>
    <row r="53" spans="8:10" ht="20.25" thickBot="1">
      <c r="H53" s="208" t="s">
        <v>0</v>
      </c>
      <c r="J53" s="209">
        <f>J51+J46+J47</f>
        <v>2491347</v>
      </c>
    </row>
    <row r="54" ht="20.25" thickTop="1"/>
    <row r="56" ht="19.5">
      <c r="A56" s="206" t="s">
        <v>399</v>
      </c>
    </row>
    <row r="57" ht="19.5">
      <c r="B57" s="206" t="s">
        <v>400</v>
      </c>
    </row>
    <row r="58" spans="3:10" ht="19.5">
      <c r="C58" s="204" t="s">
        <v>401</v>
      </c>
      <c r="J58" s="207">
        <v>59194.3</v>
      </c>
    </row>
    <row r="62" spans="8:10" ht="20.25" thickBot="1">
      <c r="H62" s="208" t="s">
        <v>0</v>
      </c>
      <c r="J62" s="209">
        <f>SUM(J58:J61)</f>
        <v>59194.3</v>
      </c>
    </row>
    <row r="63" ht="20.25" thickTop="1"/>
    <row r="64" ht="19.5">
      <c r="A64" s="206" t="s">
        <v>402</v>
      </c>
    </row>
    <row r="65" ht="19.5">
      <c r="B65" s="206" t="s">
        <v>403</v>
      </c>
    </row>
    <row r="66" spans="3:10" ht="19.5">
      <c r="C66" s="204" t="s">
        <v>401</v>
      </c>
      <c r="J66" s="207">
        <v>1537300</v>
      </c>
    </row>
    <row r="67" spans="3:10" ht="19.5">
      <c r="C67" s="204" t="s">
        <v>383</v>
      </c>
      <c r="J67" s="207">
        <v>1841000</v>
      </c>
    </row>
    <row r="70" spans="8:10" ht="20.25" thickBot="1">
      <c r="H70" s="208" t="s">
        <v>0</v>
      </c>
      <c r="J70" s="209">
        <f>SUM(J66:J69)</f>
        <v>3378300</v>
      </c>
    </row>
    <row r="71" ht="20.25" thickTop="1"/>
    <row r="78" ht="19.5">
      <c r="K78" s="207"/>
    </row>
    <row r="79" ht="19.5">
      <c r="K79" s="207"/>
    </row>
    <row r="80" ht="19.5">
      <c r="K80" s="207"/>
    </row>
    <row r="81" ht="20.25" thickBot="1">
      <c r="K81" s="214">
        <v>15000</v>
      </c>
    </row>
    <row r="82" ht="20.25" thickTop="1">
      <c r="K82" s="207"/>
    </row>
    <row r="83" ht="19.5">
      <c r="K83" s="207"/>
    </row>
    <row r="84" ht="19.5">
      <c r="K84" s="207"/>
    </row>
    <row r="85" ht="19.5">
      <c r="K85" s="207"/>
    </row>
    <row r="86" ht="19.5">
      <c r="K86" s="207"/>
    </row>
    <row r="87" ht="19.5">
      <c r="K87" s="207"/>
    </row>
    <row r="88" ht="19.5">
      <c r="K88" s="207"/>
    </row>
    <row r="89" ht="19.5">
      <c r="K89" s="207"/>
    </row>
    <row r="90" ht="19.5">
      <c r="K90" s="207"/>
    </row>
    <row r="91" ht="19.5">
      <c r="K91" s="207"/>
    </row>
    <row r="92" ht="19.5">
      <c r="K92" s="207"/>
    </row>
    <row r="93" ht="19.5">
      <c r="K93" s="207"/>
    </row>
    <row r="94" ht="19.5">
      <c r="K94" s="207"/>
    </row>
    <row r="95" spans="10:11" ht="19.5">
      <c r="J95" s="204"/>
      <c r="K95" s="207"/>
    </row>
    <row r="96" spans="10:11" ht="19.5">
      <c r="J96" s="204"/>
      <c r="K96" s="207"/>
    </row>
    <row r="97" spans="10:11" ht="19.5">
      <c r="J97" s="204"/>
      <c r="K97" s="207"/>
    </row>
    <row r="98" spans="10:11" ht="19.5">
      <c r="J98" s="204"/>
      <c r="K98" s="207"/>
    </row>
    <row r="99" spans="10:11" ht="19.5">
      <c r="J99" s="204"/>
      <c r="K99" s="207"/>
    </row>
    <row r="100" spans="10:11" ht="19.5">
      <c r="J100" s="204"/>
      <c r="K100" s="207"/>
    </row>
    <row r="101" spans="10:11" ht="19.5">
      <c r="J101" s="204"/>
      <c r="K101" s="207"/>
    </row>
  </sheetData>
  <sheetProtection/>
  <printOptions/>
  <pageMargins left="0.9055118110236221" right="0.2362204724409449" top="0.4330708661417323" bottom="0.3937007874015748" header="0.2362204724409449" footer="0.2362204724409449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3">
      <selection activeCell="F33" sqref="A1:F33"/>
    </sheetView>
  </sheetViews>
  <sheetFormatPr defaultColWidth="9.140625" defaultRowHeight="21.75"/>
  <cols>
    <col min="1" max="1" width="12.8515625" style="28" customWidth="1"/>
    <col min="2" max="2" width="7.57421875" style="28" customWidth="1"/>
    <col min="3" max="3" width="52.8515625" style="28" customWidth="1"/>
    <col min="4" max="4" width="7.8515625" style="84" customWidth="1"/>
    <col min="5" max="6" width="14.00390625" style="28" customWidth="1"/>
    <col min="7" max="16384" width="9.140625" style="28" customWidth="1"/>
  </cols>
  <sheetData>
    <row r="1" spans="1:6" s="12" customFormat="1" ht="34.5" customHeight="1">
      <c r="A1" s="849" t="s">
        <v>198</v>
      </c>
      <c r="B1" s="849"/>
      <c r="C1" s="849"/>
      <c r="D1" s="849"/>
      <c r="E1" s="849"/>
      <c r="F1" s="849"/>
    </row>
    <row r="2" spans="4:6" s="14" customFormat="1" ht="18.75" customHeight="1">
      <c r="D2" s="76"/>
      <c r="F2" s="87" t="s">
        <v>189</v>
      </c>
    </row>
    <row r="3" spans="1:6" s="12" customFormat="1" ht="32.25" customHeight="1">
      <c r="A3" s="15" t="s">
        <v>60</v>
      </c>
      <c r="B3" s="850" t="s">
        <v>61</v>
      </c>
      <c r="C3" s="851"/>
      <c r="D3" s="77" t="s">
        <v>62</v>
      </c>
      <c r="E3" s="15" t="s">
        <v>50</v>
      </c>
      <c r="F3" s="15" t="s">
        <v>51</v>
      </c>
    </row>
    <row r="4" spans="1:6" s="12" customFormat="1" ht="27.75" customHeight="1">
      <c r="A4" s="75" t="s">
        <v>296</v>
      </c>
      <c r="B4" s="16" t="s">
        <v>297</v>
      </c>
      <c r="C4" s="17"/>
      <c r="D4" s="78" t="s">
        <v>267</v>
      </c>
      <c r="E4" s="18">
        <v>23250</v>
      </c>
      <c r="F4" s="18"/>
    </row>
    <row r="5" spans="1:6" s="12" customFormat="1" ht="27.75" customHeight="1">
      <c r="A5" s="85" t="s">
        <v>190</v>
      </c>
      <c r="B5" s="20"/>
      <c r="C5" s="21" t="s">
        <v>298</v>
      </c>
      <c r="D5" s="79" t="s">
        <v>294</v>
      </c>
      <c r="E5" s="22"/>
      <c r="F5" s="22">
        <v>23250</v>
      </c>
    </row>
    <row r="6" spans="1:6" s="12" customFormat="1" ht="27.75" customHeight="1">
      <c r="A6" s="19"/>
      <c r="B6" s="23" t="s">
        <v>299</v>
      </c>
      <c r="C6" s="24"/>
      <c r="D6" s="79"/>
      <c r="E6" s="22"/>
      <c r="F6" s="22"/>
    </row>
    <row r="7" spans="1:6" s="12" customFormat="1" ht="27.75" customHeight="1">
      <c r="A7" s="85" t="s">
        <v>191</v>
      </c>
      <c r="B7" s="16" t="s">
        <v>300</v>
      </c>
      <c r="C7" s="17"/>
      <c r="D7" s="78" t="s">
        <v>268</v>
      </c>
      <c r="E7" s="18">
        <v>555.36</v>
      </c>
      <c r="F7" s="18"/>
    </row>
    <row r="8" spans="1:6" s="12" customFormat="1" ht="27.75" customHeight="1">
      <c r="A8" s="85"/>
      <c r="B8" s="20"/>
      <c r="C8" s="21" t="s">
        <v>298</v>
      </c>
      <c r="D8" s="79" t="s">
        <v>294</v>
      </c>
      <c r="E8" s="22"/>
      <c r="F8" s="22">
        <v>555.36</v>
      </c>
    </row>
    <row r="9" spans="1:6" s="12" customFormat="1" ht="27.75" customHeight="1">
      <c r="A9" s="85"/>
      <c r="B9" s="23" t="s">
        <v>301</v>
      </c>
      <c r="C9" s="24"/>
      <c r="D9" s="79"/>
      <c r="E9" s="22"/>
      <c r="F9" s="22"/>
    </row>
    <row r="10" spans="1:6" s="12" customFormat="1" ht="27.75" customHeight="1">
      <c r="A10" s="85" t="s">
        <v>192</v>
      </c>
      <c r="B10" s="16" t="s">
        <v>302</v>
      </c>
      <c r="C10" s="17"/>
      <c r="D10" s="78" t="s">
        <v>304</v>
      </c>
      <c r="E10" s="18">
        <v>4640</v>
      </c>
      <c r="F10" s="18"/>
    </row>
    <row r="11" spans="1:6" s="12" customFormat="1" ht="27.75" customHeight="1">
      <c r="A11" s="85"/>
      <c r="B11" s="20"/>
      <c r="C11" s="21" t="s">
        <v>298</v>
      </c>
      <c r="D11" s="79" t="s">
        <v>294</v>
      </c>
      <c r="E11" s="22"/>
      <c r="F11" s="22">
        <v>4640</v>
      </c>
    </row>
    <row r="12" spans="1:6" s="12" customFormat="1" ht="27.75" customHeight="1">
      <c r="A12" s="85"/>
      <c r="B12" s="23" t="s">
        <v>303</v>
      </c>
      <c r="C12" s="24"/>
      <c r="D12" s="79"/>
      <c r="E12" s="22"/>
      <c r="F12" s="22"/>
    </row>
    <row r="13" spans="1:6" s="12" customFormat="1" ht="27.75" customHeight="1">
      <c r="A13" s="85" t="s">
        <v>193</v>
      </c>
      <c r="B13" s="16" t="s">
        <v>305</v>
      </c>
      <c r="C13" s="17"/>
      <c r="D13" s="78" t="s">
        <v>307</v>
      </c>
      <c r="E13" s="18">
        <v>3800</v>
      </c>
      <c r="F13" s="18"/>
    </row>
    <row r="14" spans="1:6" s="12" customFormat="1" ht="27.75" customHeight="1">
      <c r="A14" s="85"/>
      <c r="B14" s="20"/>
      <c r="C14" s="21" t="s">
        <v>298</v>
      </c>
      <c r="D14" s="79" t="s">
        <v>294</v>
      </c>
      <c r="E14" s="22"/>
      <c r="F14" s="22">
        <v>3800</v>
      </c>
    </row>
    <row r="15" spans="1:6" s="12" customFormat="1" ht="27.75" customHeight="1">
      <c r="A15" s="85"/>
      <c r="B15" s="23" t="s">
        <v>306</v>
      </c>
      <c r="C15" s="24"/>
      <c r="D15" s="79"/>
      <c r="E15" s="22"/>
      <c r="F15" s="22"/>
    </row>
    <row r="16" spans="1:6" s="12" customFormat="1" ht="27.75" customHeight="1">
      <c r="A16" s="85" t="s">
        <v>194</v>
      </c>
      <c r="B16" s="16" t="s">
        <v>18</v>
      </c>
      <c r="C16" s="21"/>
      <c r="D16" s="78" t="s">
        <v>290</v>
      </c>
      <c r="E16" s="18">
        <v>63500</v>
      </c>
      <c r="F16" s="18"/>
    </row>
    <row r="17" spans="1:6" s="12" customFormat="1" ht="27.75" customHeight="1">
      <c r="A17" s="85"/>
      <c r="B17" s="20"/>
      <c r="C17" s="21" t="s">
        <v>53</v>
      </c>
      <c r="D17" s="79" t="s">
        <v>292</v>
      </c>
      <c r="E17" s="22"/>
      <c r="F17" s="22">
        <v>63500</v>
      </c>
    </row>
    <row r="18" spans="1:6" s="12" customFormat="1" ht="27.75" customHeight="1">
      <c r="A18" s="85"/>
      <c r="B18" s="23" t="s">
        <v>308</v>
      </c>
      <c r="C18" s="21"/>
      <c r="D18" s="80"/>
      <c r="E18" s="26"/>
      <c r="F18" s="26"/>
    </row>
    <row r="19" spans="1:6" s="12" customFormat="1" ht="27.75" customHeight="1">
      <c r="A19" s="86" t="s">
        <v>195</v>
      </c>
      <c r="B19" s="16" t="s">
        <v>264</v>
      </c>
      <c r="C19" s="17"/>
      <c r="D19" s="81" t="s">
        <v>291</v>
      </c>
      <c r="E19" s="18">
        <v>18736</v>
      </c>
      <c r="F19" s="18"/>
    </row>
    <row r="20" spans="1:6" s="12" customFormat="1" ht="27.75" customHeight="1">
      <c r="A20" s="86"/>
      <c r="B20" s="20"/>
      <c r="C20" s="21" t="s">
        <v>53</v>
      </c>
      <c r="D20" s="82" t="s">
        <v>292</v>
      </c>
      <c r="E20" s="22"/>
      <c r="F20" s="22">
        <v>18736</v>
      </c>
    </row>
    <row r="21" spans="1:6" s="12" customFormat="1" ht="27.75" customHeight="1">
      <c r="A21" s="86"/>
      <c r="B21" s="23" t="s">
        <v>309</v>
      </c>
      <c r="C21" s="24"/>
      <c r="D21" s="83"/>
      <c r="E21" s="25"/>
      <c r="F21" s="25"/>
    </row>
    <row r="22" spans="1:6" ht="23.25">
      <c r="A22" s="202" t="s">
        <v>196</v>
      </c>
      <c r="B22" s="95" t="s">
        <v>203</v>
      </c>
      <c r="C22" s="98"/>
      <c r="D22" s="78" t="s">
        <v>307</v>
      </c>
      <c r="E22" s="18">
        <v>205000</v>
      </c>
      <c r="F22" s="91"/>
    </row>
    <row r="23" spans="1:6" ht="23.25">
      <c r="A23" s="202"/>
      <c r="B23" s="96"/>
      <c r="C23" s="99" t="s">
        <v>204</v>
      </c>
      <c r="D23" s="101">
        <v>230199</v>
      </c>
      <c r="E23" s="92"/>
      <c r="F23" s="22">
        <v>205000</v>
      </c>
    </row>
    <row r="24" spans="1:6" ht="23.25">
      <c r="A24" s="202"/>
      <c r="B24" s="97" t="s">
        <v>205</v>
      </c>
      <c r="C24" s="100"/>
      <c r="D24" s="94"/>
      <c r="E24" s="93"/>
      <c r="F24" s="93"/>
    </row>
    <row r="25" spans="1:6" ht="23.25">
      <c r="A25" s="202" t="s">
        <v>197</v>
      </c>
      <c r="B25" s="95" t="s">
        <v>330</v>
      </c>
      <c r="C25" s="98"/>
      <c r="D25" s="78" t="s">
        <v>332</v>
      </c>
      <c r="E25" s="18">
        <v>5000</v>
      </c>
      <c r="F25" s="91"/>
    </row>
    <row r="26" spans="1:6" ht="23.25">
      <c r="A26" s="202"/>
      <c r="B26" s="96"/>
      <c r="C26" s="99" t="s">
        <v>53</v>
      </c>
      <c r="D26" s="101">
        <v>300000</v>
      </c>
      <c r="E26" s="92"/>
      <c r="F26" s="22">
        <v>5000</v>
      </c>
    </row>
    <row r="27" spans="1:6" ht="23.25">
      <c r="A27" s="202"/>
      <c r="B27" s="97" t="s">
        <v>331</v>
      </c>
      <c r="C27" s="100"/>
      <c r="D27" s="94"/>
      <c r="E27" s="93"/>
      <c r="F27" s="93"/>
    </row>
    <row r="28" spans="1:6" ht="23.25">
      <c r="A28" s="202" t="s">
        <v>348</v>
      </c>
      <c r="B28" s="95" t="s">
        <v>349</v>
      </c>
      <c r="C28" s="98"/>
      <c r="D28" s="78" t="s">
        <v>278</v>
      </c>
      <c r="E28" s="18">
        <v>662280</v>
      </c>
      <c r="F28" s="91"/>
    </row>
    <row r="29" spans="1:6" ht="23.25">
      <c r="A29" s="202"/>
      <c r="B29" s="96"/>
      <c r="C29" s="99" t="s">
        <v>264</v>
      </c>
      <c r="D29" s="101">
        <v>210500</v>
      </c>
      <c r="E29" s="92"/>
      <c r="F29" s="22">
        <v>662280</v>
      </c>
    </row>
    <row r="30" spans="1:6" ht="23.25">
      <c r="A30" s="203"/>
      <c r="B30" s="97" t="s">
        <v>331</v>
      </c>
      <c r="C30" s="100"/>
      <c r="D30" s="94"/>
      <c r="E30" s="93"/>
      <c r="F30" s="93"/>
    </row>
    <row r="31" spans="1:6" s="12" customFormat="1" ht="23.25">
      <c r="A31" s="27"/>
      <c r="B31" s="27"/>
      <c r="C31" s="27"/>
      <c r="D31" s="89" t="s">
        <v>200</v>
      </c>
      <c r="E31" s="90"/>
      <c r="F31" s="88"/>
    </row>
    <row r="32" s="12" customFormat="1" ht="23.25">
      <c r="D32" s="142" t="s">
        <v>219</v>
      </c>
    </row>
    <row r="33" s="12" customFormat="1" ht="23.25">
      <c r="D33" s="142" t="s">
        <v>201</v>
      </c>
    </row>
  </sheetData>
  <sheetProtection/>
  <mergeCells count="2">
    <mergeCell ref="A1:F1"/>
    <mergeCell ref="B3:C3"/>
  </mergeCells>
  <printOptions/>
  <pageMargins left="0.1968503937007874" right="0.11811023622047245" top="0.1968503937007874" bottom="0" header="0.5118110236220472" footer="0.1574803149606299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51"/>
  <sheetViews>
    <sheetView zoomScalePageLayoutView="0" workbookViewId="0" topLeftCell="A26">
      <selection activeCell="F152" sqref="A39:F152"/>
    </sheetView>
  </sheetViews>
  <sheetFormatPr defaultColWidth="9.140625" defaultRowHeight="21.75"/>
  <cols>
    <col min="1" max="1" width="4.140625" style="31" customWidth="1"/>
    <col min="2" max="2" width="6.57421875" style="31" customWidth="1"/>
    <col min="3" max="3" width="52.57421875" style="31" customWidth="1"/>
    <col min="4" max="4" width="8.8515625" style="31" customWidth="1"/>
    <col min="5" max="6" width="16.7109375" style="31" customWidth="1"/>
    <col min="7" max="7" width="15.00390625" style="31" customWidth="1"/>
    <col min="8" max="16384" width="9.140625" style="31" customWidth="1"/>
  </cols>
  <sheetData>
    <row r="1" spans="1:6" ht="23.25">
      <c r="A1" s="151"/>
      <c r="B1" s="151"/>
      <c r="E1" s="152" t="s">
        <v>355</v>
      </c>
      <c r="F1" s="153" t="s">
        <v>560</v>
      </c>
    </row>
    <row r="2" spans="3:6" ht="30">
      <c r="C2" s="154" t="s">
        <v>356</v>
      </c>
      <c r="E2" s="152" t="s">
        <v>357</v>
      </c>
      <c r="F2" s="155" t="s">
        <v>315</v>
      </c>
    </row>
    <row r="3" spans="1:6" ht="23.25">
      <c r="A3" s="151" t="s">
        <v>365</v>
      </c>
      <c r="B3" s="156" t="s">
        <v>561</v>
      </c>
      <c r="E3" s="157"/>
      <c r="F3" s="158"/>
    </row>
    <row r="4" spans="1:6" ht="22.5">
      <c r="A4" s="177" t="s">
        <v>130</v>
      </c>
      <c r="B4" s="178"/>
      <c r="C4" s="179" t="s">
        <v>358</v>
      </c>
      <c r="D4" s="180" t="s">
        <v>133</v>
      </c>
      <c r="E4" s="180" t="s">
        <v>359</v>
      </c>
      <c r="F4" s="180" t="s">
        <v>51</v>
      </c>
    </row>
    <row r="5" spans="1:6" ht="22.5">
      <c r="A5" s="181"/>
      <c r="B5" s="595" t="s">
        <v>562</v>
      </c>
      <c r="C5" s="592"/>
      <c r="D5" s="182" t="s">
        <v>220</v>
      </c>
      <c r="E5" s="198">
        <v>115128</v>
      </c>
      <c r="F5" s="188"/>
    </row>
    <row r="6" spans="1:6" ht="22.5">
      <c r="A6" s="181"/>
      <c r="B6" s="313" t="s">
        <v>563</v>
      </c>
      <c r="C6" s="184"/>
      <c r="D6" s="185" t="s">
        <v>221</v>
      </c>
      <c r="E6" s="188">
        <v>54039.91</v>
      </c>
      <c r="F6" s="188"/>
    </row>
    <row r="7" spans="1:6" ht="22.5">
      <c r="A7" s="181"/>
      <c r="B7" s="313" t="s">
        <v>564</v>
      </c>
      <c r="C7" s="186"/>
      <c r="D7" s="187" t="s">
        <v>222</v>
      </c>
      <c r="E7" s="188">
        <v>9900</v>
      </c>
      <c r="F7" s="188"/>
    </row>
    <row r="8" spans="1:6" ht="22.5">
      <c r="A8" s="181"/>
      <c r="B8" s="313" t="s">
        <v>565</v>
      </c>
      <c r="C8" s="186"/>
      <c r="D8" s="187" t="s">
        <v>223</v>
      </c>
      <c r="E8" s="188">
        <v>840</v>
      </c>
      <c r="F8" s="188"/>
    </row>
    <row r="9" spans="1:6" ht="22.5">
      <c r="A9" s="181"/>
      <c r="B9" s="593" t="s">
        <v>566</v>
      </c>
      <c r="C9" s="186"/>
      <c r="D9" s="187" t="s">
        <v>225</v>
      </c>
      <c r="E9" s="188">
        <v>1050</v>
      </c>
      <c r="F9" s="188"/>
    </row>
    <row r="10" spans="1:6" ht="22.5">
      <c r="A10" s="181"/>
      <c r="B10" s="593" t="s">
        <v>567</v>
      </c>
      <c r="C10" s="186"/>
      <c r="D10" s="187" t="s">
        <v>226</v>
      </c>
      <c r="E10" s="188">
        <v>2215.48</v>
      </c>
      <c r="F10" s="188"/>
    </row>
    <row r="11" spans="1:6" ht="22.5">
      <c r="A11" s="181"/>
      <c r="B11" s="593" t="s">
        <v>568</v>
      </c>
      <c r="C11" s="186"/>
      <c r="D11" s="187" t="s">
        <v>232</v>
      </c>
      <c r="E11" s="188">
        <v>30</v>
      </c>
      <c r="F11" s="188"/>
    </row>
    <row r="12" spans="1:6" ht="22.5">
      <c r="A12" s="181"/>
      <c r="B12" s="593" t="s">
        <v>569</v>
      </c>
      <c r="C12" s="186"/>
      <c r="D12" s="187" t="s">
        <v>228</v>
      </c>
      <c r="E12" s="188">
        <v>980</v>
      </c>
      <c r="F12" s="188"/>
    </row>
    <row r="13" spans="1:6" ht="22.5">
      <c r="A13" s="181"/>
      <c r="B13" s="593" t="s">
        <v>570</v>
      </c>
      <c r="C13" s="186"/>
      <c r="D13" s="187" t="s">
        <v>229</v>
      </c>
      <c r="E13" s="188">
        <v>1120</v>
      </c>
      <c r="F13" s="188"/>
    </row>
    <row r="14" spans="1:6" ht="22.5">
      <c r="A14" s="181"/>
      <c r="B14" s="593" t="s">
        <v>571</v>
      </c>
      <c r="C14" s="186"/>
      <c r="D14" s="187" t="s">
        <v>233</v>
      </c>
      <c r="E14" s="188">
        <v>15640</v>
      </c>
      <c r="F14" s="188"/>
    </row>
    <row r="15" spans="1:6" ht="22.5">
      <c r="A15" s="181"/>
      <c r="B15" s="593" t="s">
        <v>572</v>
      </c>
      <c r="C15" s="186"/>
      <c r="D15" s="187" t="s">
        <v>417</v>
      </c>
      <c r="E15" s="188">
        <v>1200</v>
      </c>
      <c r="F15" s="188"/>
    </row>
    <row r="16" spans="1:6" ht="22.5">
      <c r="A16" s="181"/>
      <c r="B16" s="596" t="s">
        <v>573</v>
      </c>
      <c r="C16" s="186"/>
      <c r="D16" s="187" t="s">
        <v>235</v>
      </c>
      <c r="E16" s="188">
        <v>69603.2</v>
      </c>
      <c r="F16" s="188"/>
    </row>
    <row r="17" spans="1:6" ht="22.5">
      <c r="A17" s="181"/>
      <c r="B17" s="313" t="s">
        <v>574</v>
      </c>
      <c r="C17" s="186"/>
      <c r="D17" s="187" t="s">
        <v>238</v>
      </c>
      <c r="E17" s="188">
        <v>71000</v>
      </c>
      <c r="F17" s="188"/>
    </row>
    <row r="18" spans="1:6" ht="22.5">
      <c r="A18" s="181"/>
      <c r="B18" s="313" t="s">
        <v>575</v>
      </c>
      <c r="C18" s="186"/>
      <c r="D18" s="187" t="s">
        <v>239</v>
      </c>
      <c r="E18" s="188">
        <v>20</v>
      </c>
      <c r="F18" s="188"/>
    </row>
    <row r="19" spans="1:6" ht="22.5">
      <c r="A19" s="181"/>
      <c r="B19" s="313" t="s">
        <v>576</v>
      </c>
      <c r="C19" s="186"/>
      <c r="D19" s="187" t="s">
        <v>241</v>
      </c>
      <c r="E19" s="188">
        <v>212</v>
      </c>
      <c r="F19" s="188"/>
    </row>
    <row r="20" spans="1:6" ht="22.5">
      <c r="A20" s="181"/>
      <c r="B20" s="593" t="s">
        <v>577</v>
      </c>
      <c r="C20" s="186"/>
      <c r="D20" s="187" t="s">
        <v>242</v>
      </c>
      <c r="E20" s="188">
        <v>15300</v>
      </c>
      <c r="F20" s="188"/>
    </row>
    <row r="21" spans="1:6" ht="22.5">
      <c r="A21" s="181"/>
      <c r="B21" s="597" t="s">
        <v>578</v>
      </c>
      <c r="C21" s="186"/>
      <c r="D21" s="187" t="s">
        <v>246</v>
      </c>
      <c r="E21" s="188">
        <v>186710</v>
      </c>
      <c r="F21" s="188"/>
    </row>
    <row r="22" spans="1:6" ht="22.5">
      <c r="A22" s="181"/>
      <c r="B22" s="598" t="s">
        <v>579</v>
      </c>
      <c r="C22" s="186"/>
      <c r="D22" s="187" t="s">
        <v>248</v>
      </c>
      <c r="E22" s="188">
        <v>10357812.01</v>
      </c>
      <c r="F22" s="188"/>
    </row>
    <row r="23" spans="1:6" ht="22.5">
      <c r="A23" s="181"/>
      <c r="B23" s="598" t="s">
        <v>580</v>
      </c>
      <c r="C23" s="186"/>
      <c r="D23" s="187" t="s">
        <v>249</v>
      </c>
      <c r="E23" s="188">
        <v>898984.35</v>
      </c>
      <c r="F23" s="188"/>
    </row>
    <row r="24" spans="1:6" ht="22.5">
      <c r="A24" s="181"/>
      <c r="B24" s="598" t="s">
        <v>581</v>
      </c>
      <c r="C24" s="186"/>
      <c r="D24" s="187" t="s">
        <v>250</v>
      </c>
      <c r="E24" s="188">
        <v>18440.26</v>
      </c>
      <c r="F24" s="188"/>
    </row>
    <row r="25" spans="1:6" ht="22.5">
      <c r="A25" s="181"/>
      <c r="B25" s="593" t="s">
        <v>582</v>
      </c>
      <c r="C25" s="186"/>
      <c r="D25" s="187" t="s">
        <v>251</v>
      </c>
      <c r="E25" s="188">
        <v>415887.32</v>
      </c>
      <c r="F25" s="188"/>
    </row>
    <row r="26" spans="1:6" ht="22.5">
      <c r="A26" s="181"/>
      <c r="B26" s="597" t="s">
        <v>583</v>
      </c>
      <c r="C26" s="599"/>
      <c r="D26" s="187" t="s">
        <v>252</v>
      </c>
      <c r="E26" s="188">
        <v>909237.08</v>
      </c>
      <c r="F26" s="188"/>
    </row>
    <row r="27" spans="1:6" ht="22.5">
      <c r="A27" s="181"/>
      <c r="B27" s="597" t="s">
        <v>584</v>
      </c>
      <c r="C27" s="184"/>
      <c r="D27" s="185" t="s">
        <v>253</v>
      </c>
      <c r="E27" s="188">
        <v>15111.94</v>
      </c>
      <c r="F27" s="188"/>
    </row>
    <row r="28" spans="1:6" ht="22.5">
      <c r="A28" s="181"/>
      <c r="B28" s="598" t="s">
        <v>585</v>
      </c>
      <c r="C28" s="186"/>
      <c r="D28" s="187" t="s">
        <v>254</v>
      </c>
      <c r="E28" s="188">
        <v>38157.43</v>
      </c>
      <c r="F28" s="188"/>
    </row>
    <row r="29" spans="1:6" ht="22.5">
      <c r="A29" s="189"/>
      <c r="B29" s="190"/>
      <c r="C29" s="191"/>
      <c r="D29" s="192"/>
      <c r="E29" s="199">
        <f>0</f>
        <v>0</v>
      </c>
      <c r="F29" s="199">
        <f>SUM(F6:F28)</f>
        <v>0</v>
      </c>
    </row>
    <row r="30" spans="1:6" ht="22.5">
      <c r="A30" s="193" t="s">
        <v>366</v>
      </c>
      <c r="B30" s="194"/>
      <c r="C30" s="194"/>
      <c r="D30" s="195"/>
      <c r="E30" s="194"/>
      <c r="F30" s="196"/>
    </row>
    <row r="31" spans="1:6" ht="22.5">
      <c r="A31" s="197"/>
      <c r="B31" s="200" t="s">
        <v>63</v>
      </c>
      <c r="C31" s="200"/>
      <c r="D31" s="201"/>
      <c r="E31" s="183"/>
      <c r="F31" s="186"/>
    </row>
    <row r="32" spans="1:6" s="163" customFormat="1" ht="23.25">
      <c r="A32" s="172"/>
      <c r="B32" s="173"/>
      <c r="C32" s="173"/>
      <c r="D32" s="174"/>
      <c r="E32" s="175"/>
      <c r="F32" s="176"/>
    </row>
    <row r="33" spans="1:6" ht="23.25">
      <c r="A33" s="165"/>
      <c r="B33" s="166" t="s">
        <v>360</v>
      </c>
      <c r="C33" s="166"/>
      <c r="D33" s="166"/>
      <c r="E33" s="167" t="s">
        <v>361</v>
      </c>
      <c r="F33" s="168"/>
    </row>
    <row r="34" spans="1:6" ht="23.25">
      <c r="A34" s="165"/>
      <c r="B34" s="166"/>
      <c r="C34" s="166"/>
      <c r="D34" s="166"/>
      <c r="E34" s="167"/>
      <c r="F34" s="168"/>
    </row>
    <row r="35" spans="1:6" ht="22.5">
      <c r="A35" s="159"/>
      <c r="B35" s="160"/>
      <c r="C35" s="160"/>
      <c r="D35" s="160"/>
      <c r="E35" s="160"/>
      <c r="F35" s="161"/>
    </row>
    <row r="36" spans="1:6" ht="22.5">
      <c r="A36" s="159" t="s">
        <v>362</v>
      </c>
      <c r="B36" s="160"/>
      <c r="C36" s="160"/>
      <c r="D36" s="169"/>
      <c r="E36" s="170" t="s">
        <v>363</v>
      </c>
      <c r="F36" s="171"/>
    </row>
    <row r="37" spans="1:6" ht="22.5">
      <c r="A37" s="162" t="s">
        <v>367</v>
      </c>
      <c r="B37" s="163"/>
      <c r="C37" s="163"/>
      <c r="D37" s="163"/>
      <c r="E37" s="163" t="s">
        <v>364</v>
      </c>
      <c r="F37" s="164"/>
    </row>
    <row r="38" spans="1:6" ht="22.5">
      <c r="A38" s="160"/>
      <c r="B38" s="160"/>
      <c r="C38" s="160"/>
      <c r="D38" s="160"/>
      <c r="E38" s="160"/>
      <c r="F38" s="160"/>
    </row>
    <row r="39" spans="1:6" ht="23.25">
      <c r="A39" s="151"/>
      <c r="B39" s="151"/>
      <c r="E39" s="152" t="s">
        <v>355</v>
      </c>
      <c r="F39" s="153" t="s">
        <v>560</v>
      </c>
    </row>
    <row r="40" spans="3:6" ht="30">
      <c r="C40" s="154" t="s">
        <v>356</v>
      </c>
      <c r="E40" s="152" t="s">
        <v>357</v>
      </c>
      <c r="F40" s="155" t="s">
        <v>315</v>
      </c>
    </row>
    <row r="41" spans="1:6" ht="23.25">
      <c r="A41" s="151" t="s">
        <v>365</v>
      </c>
      <c r="B41" s="156" t="s">
        <v>561</v>
      </c>
      <c r="E41" s="157"/>
      <c r="F41" s="158"/>
    </row>
    <row r="42" spans="1:6" ht="22.5">
      <c r="A42" s="177" t="s">
        <v>130</v>
      </c>
      <c r="B42" s="178"/>
      <c r="C42" s="179" t="s">
        <v>358</v>
      </c>
      <c r="D42" s="180" t="s">
        <v>133</v>
      </c>
      <c r="E42" s="180" t="s">
        <v>359</v>
      </c>
      <c r="F42" s="180" t="s">
        <v>51</v>
      </c>
    </row>
    <row r="43" spans="1:6" ht="22.5">
      <c r="A43" s="181"/>
      <c r="B43" s="598" t="s">
        <v>586</v>
      </c>
      <c r="C43" s="186"/>
      <c r="D43" s="187" t="s">
        <v>595</v>
      </c>
      <c r="E43" s="188">
        <v>430747</v>
      </c>
      <c r="F43" s="188"/>
    </row>
    <row r="44" spans="1:6" ht="22.5">
      <c r="A44" s="181"/>
      <c r="B44" s="597" t="s">
        <v>430</v>
      </c>
      <c r="C44" s="186"/>
      <c r="D44" s="187" t="s">
        <v>596</v>
      </c>
      <c r="E44" s="188">
        <v>3393754</v>
      </c>
      <c r="F44" s="188"/>
    </row>
    <row r="45" spans="1:6" ht="22.5">
      <c r="A45" s="181"/>
      <c r="B45" s="597" t="s">
        <v>587</v>
      </c>
      <c r="C45" s="186"/>
      <c r="D45" s="187" t="s">
        <v>597</v>
      </c>
      <c r="E45" s="188">
        <v>1888800</v>
      </c>
      <c r="F45" s="188"/>
    </row>
    <row r="46" spans="1:6" ht="22.5">
      <c r="A46" s="181"/>
      <c r="B46" s="597" t="s">
        <v>588</v>
      </c>
      <c r="C46" s="186"/>
      <c r="D46" s="187" t="s">
        <v>598</v>
      </c>
      <c r="E46" s="188">
        <v>231000</v>
      </c>
      <c r="F46" s="188"/>
    </row>
    <row r="47" spans="1:6" ht="22.5">
      <c r="A47" s="181"/>
      <c r="B47" s="597" t="s">
        <v>589</v>
      </c>
      <c r="C47" s="186"/>
      <c r="D47" s="187" t="s">
        <v>599</v>
      </c>
      <c r="E47" s="188">
        <v>84600</v>
      </c>
      <c r="F47" s="188"/>
    </row>
    <row r="48" spans="1:6" ht="22.5">
      <c r="A48" s="181"/>
      <c r="B48" s="597" t="s">
        <v>590</v>
      </c>
      <c r="C48" s="186"/>
      <c r="D48" s="187" t="s">
        <v>600</v>
      </c>
      <c r="E48" s="188">
        <v>121280</v>
      </c>
      <c r="F48" s="188"/>
    </row>
    <row r="49" spans="1:6" ht="22.5">
      <c r="A49" s="181"/>
      <c r="B49" s="597" t="s">
        <v>591</v>
      </c>
      <c r="C49" s="186"/>
      <c r="D49" s="187" t="s">
        <v>601</v>
      </c>
      <c r="E49" s="188">
        <v>93040</v>
      </c>
      <c r="F49" s="188"/>
    </row>
    <row r="50" spans="1:6" ht="22.5">
      <c r="A50" s="181"/>
      <c r="B50" s="597" t="s">
        <v>592</v>
      </c>
      <c r="C50" s="186"/>
      <c r="D50" s="187" t="s">
        <v>602</v>
      </c>
      <c r="E50" s="188">
        <v>5535</v>
      </c>
      <c r="F50" s="188"/>
    </row>
    <row r="51" spans="1:6" ht="22.5">
      <c r="A51" s="181"/>
      <c r="B51" s="597" t="s">
        <v>593</v>
      </c>
      <c r="C51" s="186"/>
      <c r="D51" s="187" t="s">
        <v>603</v>
      </c>
      <c r="E51" s="188">
        <v>10500</v>
      </c>
      <c r="F51" s="188"/>
    </row>
    <row r="52" spans="1:6" ht="22.5">
      <c r="A52" s="181"/>
      <c r="B52" s="597" t="s">
        <v>594</v>
      </c>
      <c r="C52" s="186"/>
      <c r="D52" s="187" t="s">
        <v>604</v>
      </c>
      <c r="E52" s="188">
        <v>3044455</v>
      </c>
      <c r="F52" s="188"/>
    </row>
    <row r="53" spans="1:6" ht="22.5">
      <c r="A53" s="181"/>
      <c r="B53" s="183"/>
      <c r="C53" s="184" t="s">
        <v>84</v>
      </c>
      <c r="D53" s="185" t="s">
        <v>272</v>
      </c>
      <c r="E53" s="188"/>
      <c r="F53" s="188">
        <v>243898</v>
      </c>
    </row>
    <row r="54" spans="1:6" ht="22.5">
      <c r="A54" s="181"/>
      <c r="B54" s="183"/>
      <c r="C54" s="186" t="s">
        <v>84</v>
      </c>
      <c r="D54" s="187" t="s">
        <v>273</v>
      </c>
      <c r="E54" s="188"/>
      <c r="F54" s="188">
        <v>73923</v>
      </c>
    </row>
    <row r="55" spans="1:6" ht="22.5">
      <c r="A55" s="181"/>
      <c r="B55" s="183"/>
      <c r="C55" s="186" t="s">
        <v>84</v>
      </c>
      <c r="D55" s="187" t="s">
        <v>274</v>
      </c>
      <c r="E55" s="188"/>
      <c r="F55" s="188">
        <v>2125335</v>
      </c>
    </row>
    <row r="56" spans="1:6" ht="22.5">
      <c r="A56" s="181"/>
      <c r="B56" s="183"/>
      <c r="C56" s="186" t="s">
        <v>262</v>
      </c>
      <c r="D56" s="187" t="s">
        <v>275</v>
      </c>
      <c r="E56" s="188"/>
      <c r="F56" s="188">
        <v>1652504</v>
      </c>
    </row>
    <row r="57" spans="1:6" ht="22.5">
      <c r="A57" s="181"/>
      <c r="B57" s="183"/>
      <c r="C57" s="186" t="s">
        <v>263</v>
      </c>
      <c r="D57" s="187" t="s">
        <v>276</v>
      </c>
      <c r="E57" s="188"/>
      <c r="F57" s="188">
        <v>2647624</v>
      </c>
    </row>
    <row r="58" spans="1:6" ht="22.5">
      <c r="A58" s="181"/>
      <c r="B58" s="183"/>
      <c r="C58" s="186" t="s">
        <v>263</v>
      </c>
      <c r="D58" s="187" t="s">
        <v>277</v>
      </c>
      <c r="E58" s="188"/>
      <c r="F58" s="188">
        <v>298920</v>
      </c>
    </row>
    <row r="59" spans="1:6" ht="22.5">
      <c r="A59" s="181"/>
      <c r="B59" s="183"/>
      <c r="C59" s="186" t="s">
        <v>54</v>
      </c>
      <c r="D59" s="187" t="s">
        <v>278</v>
      </c>
      <c r="E59" s="188"/>
      <c r="F59" s="188">
        <v>301910.5</v>
      </c>
    </row>
    <row r="60" spans="1:6" ht="22.5">
      <c r="A60" s="181"/>
      <c r="B60" s="183"/>
      <c r="C60" s="186" t="s">
        <v>55</v>
      </c>
      <c r="D60" s="187" t="s">
        <v>279</v>
      </c>
      <c r="E60" s="188"/>
      <c r="F60" s="188">
        <v>1727656.19</v>
      </c>
    </row>
    <row r="61" spans="1:6" ht="22.5">
      <c r="A61" s="181"/>
      <c r="B61" s="183"/>
      <c r="C61" s="186" t="s">
        <v>55</v>
      </c>
      <c r="D61" s="187" t="s">
        <v>280</v>
      </c>
      <c r="E61" s="188"/>
      <c r="F61" s="188">
        <v>627390</v>
      </c>
    </row>
    <row r="62" spans="1:6" ht="22.5">
      <c r="A62" s="181"/>
      <c r="B62" s="183"/>
      <c r="C62" s="186" t="s">
        <v>55</v>
      </c>
      <c r="D62" s="187" t="s">
        <v>529</v>
      </c>
      <c r="E62" s="188"/>
      <c r="F62" s="188">
        <v>10500</v>
      </c>
    </row>
    <row r="63" spans="1:6" ht="22.5">
      <c r="A63" s="181"/>
      <c r="B63" s="183"/>
      <c r="C63" s="186" t="s">
        <v>42</v>
      </c>
      <c r="D63" s="187" t="s">
        <v>281</v>
      </c>
      <c r="E63" s="188"/>
      <c r="F63" s="188">
        <v>456455.54</v>
      </c>
    </row>
    <row r="64" spans="1:6" ht="22.5">
      <c r="A64" s="181"/>
      <c r="B64" s="183"/>
      <c r="C64" s="186" t="s">
        <v>42</v>
      </c>
      <c r="D64" s="187" t="s">
        <v>282</v>
      </c>
      <c r="E64" s="188"/>
      <c r="F64" s="188">
        <v>134849.74</v>
      </c>
    </row>
    <row r="65" spans="1:6" ht="22.5">
      <c r="A65" s="181"/>
      <c r="B65" s="183"/>
      <c r="C65" s="186" t="s">
        <v>42</v>
      </c>
      <c r="D65" s="187" t="s">
        <v>283</v>
      </c>
      <c r="E65" s="188"/>
      <c r="F65" s="188">
        <v>51000</v>
      </c>
    </row>
    <row r="66" spans="1:6" ht="22.5">
      <c r="A66" s="181"/>
      <c r="B66" s="183"/>
      <c r="C66" s="186"/>
      <c r="D66" s="187"/>
      <c r="E66" s="188"/>
      <c r="F66" s="188"/>
    </row>
    <row r="67" spans="1:6" ht="22.5">
      <c r="A67" s="189"/>
      <c r="B67" s="190"/>
      <c r="C67" s="191"/>
      <c r="D67" s="192"/>
      <c r="E67" s="199">
        <f>0</f>
        <v>0</v>
      </c>
      <c r="F67" s="199">
        <f>0</f>
        <v>0</v>
      </c>
    </row>
    <row r="68" spans="1:6" ht="22.5">
      <c r="A68" s="193" t="s">
        <v>366</v>
      </c>
      <c r="B68" s="194"/>
      <c r="C68" s="194"/>
      <c r="D68" s="195"/>
      <c r="E68" s="194"/>
      <c r="F68" s="196"/>
    </row>
    <row r="69" spans="1:6" ht="22.5">
      <c r="A69" s="197"/>
      <c r="B69" s="200" t="s">
        <v>63</v>
      </c>
      <c r="C69" s="200"/>
      <c r="D69" s="201"/>
      <c r="E69" s="183"/>
      <c r="F69" s="186"/>
    </row>
    <row r="70" spans="1:6" ht="22.5">
      <c r="A70" s="197"/>
      <c r="B70" s="200"/>
      <c r="C70" s="200"/>
      <c r="D70" s="201"/>
      <c r="E70" s="183"/>
      <c r="F70" s="186"/>
    </row>
    <row r="71" spans="1:6" ht="23.25">
      <c r="A71" s="753"/>
      <c r="B71" s="754" t="s">
        <v>360</v>
      </c>
      <c r="C71" s="754"/>
      <c r="D71" s="754"/>
      <c r="E71" s="755" t="s">
        <v>361</v>
      </c>
      <c r="F71" s="756"/>
    </row>
    <row r="72" spans="1:6" ht="23.25">
      <c r="A72" s="165"/>
      <c r="B72" s="166"/>
      <c r="C72" s="166"/>
      <c r="D72" s="166"/>
      <c r="E72" s="167"/>
      <c r="F72" s="168"/>
    </row>
    <row r="73" spans="1:6" ht="22.5">
      <c r="A73" s="159"/>
      <c r="B73" s="160"/>
      <c r="C73" s="160"/>
      <c r="D73" s="160"/>
      <c r="E73" s="160"/>
      <c r="F73" s="161"/>
    </row>
    <row r="74" spans="1:6" ht="22.5">
      <c r="A74" s="159" t="s">
        <v>362</v>
      </c>
      <c r="B74" s="160"/>
      <c r="C74" s="160"/>
      <c r="D74" s="169"/>
      <c r="E74" s="170" t="s">
        <v>363</v>
      </c>
      <c r="F74" s="171"/>
    </row>
    <row r="75" spans="1:6" ht="22.5">
      <c r="A75" s="162" t="s">
        <v>367</v>
      </c>
      <c r="B75" s="163"/>
      <c r="C75" s="163"/>
      <c r="D75" s="163"/>
      <c r="E75" s="163" t="s">
        <v>364</v>
      </c>
      <c r="F75" s="164"/>
    </row>
    <row r="76" spans="1:6" ht="22.5">
      <c r="A76" s="160"/>
      <c r="B76" s="160"/>
      <c r="C76" s="160"/>
      <c r="D76" s="160"/>
      <c r="E76" s="160"/>
      <c r="F76" s="160"/>
    </row>
    <row r="77" spans="1:6" ht="23.25">
      <c r="A77" s="151"/>
      <c r="B77" s="151"/>
      <c r="E77" s="152" t="s">
        <v>355</v>
      </c>
      <c r="F77" s="153" t="s">
        <v>560</v>
      </c>
    </row>
    <row r="78" spans="3:6" ht="30">
      <c r="C78" s="154" t="s">
        <v>356</v>
      </c>
      <c r="E78" s="152" t="s">
        <v>357</v>
      </c>
      <c r="F78" s="155" t="s">
        <v>315</v>
      </c>
    </row>
    <row r="79" spans="1:6" ht="23.25">
      <c r="A79" s="151" t="s">
        <v>365</v>
      </c>
      <c r="B79" s="156" t="s">
        <v>561</v>
      </c>
      <c r="E79" s="157"/>
      <c r="F79" s="158"/>
    </row>
    <row r="81" spans="1:6" ht="22.5">
      <c r="A81" s="177" t="s">
        <v>130</v>
      </c>
      <c r="B81" s="178"/>
      <c r="C81" s="179" t="s">
        <v>358</v>
      </c>
      <c r="D81" s="180" t="s">
        <v>133</v>
      </c>
      <c r="E81" s="180" t="s">
        <v>359</v>
      </c>
      <c r="F81" s="180" t="s">
        <v>51</v>
      </c>
    </row>
    <row r="82" spans="1:6" ht="22.5">
      <c r="A82" s="181"/>
      <c r="B82" s="183"/>
      <c r="C82" s="186" t="s">
        <v>56</v>
      </c>
      <c r="D82" s="187" t="s">
        <v>284</v>
      </c>
      <c r="E82" s="188"/>
      <c r="F82" s="188">
        <v>344464.72</v>
      </c>
    </row>
    <row r="83" spans="1:6" ht="22.5">
      <c r="A83" s="181"/>
      <c r="B83" s="183"/>
      <c r="C83" s="186" t="s">
        <v>57</v>
      </c>
      <c r="D83" s="187" t="s">
        <v>285</v>
      </c>
      <c r="E83" s="188"/>
      <c r="F83" s="188">
        <v>31000</v>
      </c>
    </row>
    <row r="84" spans="1:6" ht="22.5">
      <c r="A84" s="181"/>
      <c r="B84" s="183"/>
      <c r="C84" s="186" t="s">
        <v>57</v>
      </c>
      <c r="D84" s="187" t="s">
        <v>286</v>
      </c>
      <c r="E84" s="188"/>
      <c r="F84" s="188">
        <v>130000</v>
      </c>
    </row>
    <row r="85" spans="1:6" ht="22.5">
      <c r="A85" s="181"/>
      <c r="B85" s="183"/>
      <c r="C85" s="186" t="s">
        <v>43</v>
      </c>
      <c r="D85" s="187" t="s">
        <v>543</v>
      </c>
      <c r="E85" s="188"/>
      <c r="F85" s="188">
        <v>200000</v>
      </c>
    </row>
    <row r="86" spans="1:6" ht="22.5">
      <c r="A86" s="181"/>
      <c r="B86" s="183"/>
      <c r="C86" s="186" t="s">
        <v>43</v>
      </c>
      <c r="D86" s="187" t="s">
        <v>287</v>
      </c>
      <c r="E86" s="188"/>
      <c r="F86" s="188">
        <v>226703.3</v>
      </c>
    </row>
    <row r="87" spans="1:6" ht="22.5">
      <c r="A87" s="181"/>
      <c r="B87" s="183"/>
      <c r="C87" s="186" t="s">
        <v>43</v>
      </c>
      <c r="D87" s="187" t="s">
        <v>530</v>
      </c>
      <c r="E87" s="188"/>
      <c r="F87" s="188">
        <v>999900</v>
      </c>
    </row>
    <row r="88" spans="1:6" ht="22.5">
      <c r="A88" s="181"/>
      <c r="B88" s="183"/>
      <c r="C88" s="186" t="s">
        <v>31</v>
      </c>
      <c r="D88" s="187" t="s">
        <v>531</v>
      </c>
      <c r="E88" s="188"/>
      <c r="F88" s="188">
        <v>1462000</v>
      </c>
    </row>
    <row r="89" spans="1:6" ht="22.5">
      <c r="A89" s="181"/>
      <c r="B89" s="183"/>
      <c r="C89" s="186" t="s">
        <v>31</v>
      </c>
      <c r="D89" s="187" t="s">
        <v>288</v>
      </c>
      <c r="E89" s="188"/>
      <c r="F89" s="188">
        <v>1794300</v>
      </c>
    </row>
    <row r="90" spans="1:6" ht="22.5">
      <c r="A90" s="181"/>
      <c r="B90" s="183"/>
      <c r="C90" s="186" t="s">
        <v>31</v>
      </c>
      <c r="D90" s="187" t="s">
        <v>289</v>
      </c>
      <c r="E90" s="188"/>
      <c r="F90" s="188">
        <v>1993555</v>
      </c>
    </row>
    <row r="91" spans="1:6" ht="22.5">
      <c r="A91" s="181"/>
      <c r="B91" s="183"/>
      <c r="C91" s="186" t="s">
        <v>53</v>
      </c>
      <c r="D91" s="187" t="s">
        <v>292</v>
      </c>
      <c r="E91" s="188"/>
      <c r="F91" s="188">
        <v>4968440.99</v>
      </c>
    </row>
    <row r="92" spans="1:6" ht="22.5">
      <c r="A92" s="181"/>
      <c r="B92" s="183"/>
      <c r="C92" s="186"/>
      <c r="D92" s="187"/>
      <c r="E92" s="188"/>
      <c r="F92" s="188"/>
    </row>
    <row r="93" spans="1:6" ht="22.5">
      <c r="A93" s="181"/>
      <c r="B93" s="183"/>
      <c r="C93" s="186"/>
      <c r="D93" s="187"/>
      <c r="E93" s="188"/>
      <c r="F93" s="188"/>
    </row>
    <row r="94" spans="1:6" ht="22.5">
      <c r="A94" s="181"/>
      <c r="B94" s="183"/>
      <c r="C94" s="186"/>
      <c r="D94" s="187"/>
      <c r="E94" s="188"/>
      <c r="F94" s="188"/>
    </row>
    <row r="95" spans="1:6" ht="22.5">
      <c r="A95" s="181"/>
      <c r="B95" s="183"/>
      <c r="C95" s="186"/>
      <c r="D95" s="187"/>
      <c r="E95" s="188"/>
      <c r="F95" s="188"/>
    </row>
    <row r="96" spans="1:6" ht="22.5">
      <c r="A96" s="181"/>
      <c r="B96" s="183"/>
      <c r="C96" s="186"/>
      <c r="D96" s="187"/>
      <c r="E96" s="188"/>
      <c r="F96" s="188"/>
    </row>
    <row r="97" spans="1:6" ht="22.5">
      <c r="A97" s="181"/>
      <c r="B97" s="183"/>
      <c r="C97" s="186"/>
      <c r="D97" s="187"/>
      <c r="E97" s="188"/>
      <c r="F97" s="188"/>
    </row>
    <row r="98" spans="1:6" ht="22.5">
      <c r="A98" s="181"/>
      <c r="B98" s="183"/>
      <c r="C98" s="186"/>
      <c r="D98" s="187"/>
      <c r="E98" s="188"/>
      <c r="F98" s="188"/>
    </row>
    <row r="99" spans="1:6" ht="22.5">
      <c r="A99" s="181"/>
      <c r="B99" s="183"/>
      <c r="C99" s="186"/>
      <c r="D99" s="187"/>
      <c r="E99" s="188"/>
      <c r="F99" s="188"/>
    </row>
    <row r="100" spans="1:6" ht="22.5">
      <c r="A100" s="181"/>
      <c r="B100" s="183"/>
      <c r="C100" s="186"/>
      <c r="D100" s="187"/>
      <c r="E100" s="188"/>
      <c r="F100" s="188"/>
    </row>
    <row r="101" spans="1:6" ht="22.5">
      <c r="A101" s="181"/>
      <c r="B101" s="183"/>
      <c r="C101" s="186"/>
      <c r="D101" s="187"/>
      <c r="E101" s="188"/>
      <c r="F101" s="188"/>
    </row>
    <row r="102" spans="1:6" ht="22.5">
      <c r="A102" s="181"/>
      <c r="B102" s="183"/>
      <c r="C102" s="186"/>
      <c r="D102" s="187"/>
      <c r="E102" s="188"/>
      <c r="F102" s="188"/>
    </row>
    <row r="103" spans="1:6" ht="22.5">
      <c r="A103" s="181"/>
      <c r="B103" s="183"/>
      <c r="C103" s="186"/>
      <c r="D103" s="187"/>
      <c r="E103" s="188"/>
      <c r="F103" s="188"/>
    </row>
    <row r="104" spans="1:6" ht="22.5">
      <c r="A104" s="181"/>
      <c r="B104" s="183"/>
      <c r="C104" s="186"/>
      <c r="D104" s="187"/>
      <c r="E104" s="188"/>
      <c r="F104" s="188"/>
    </row>
    <row r="105" spans="1:7" ht="22.5">
      <c r="A105" s="189"/>
      <c r="B105" s="190"/>
      <c r="C105" s="191"/>
      <c r="D105" s="192"/>
      <c r="E105" s="199">
        <f>E5+E6+E7+E8+E9+E10+E11+E12+E13+E14+E15+E16+E17+E18+E19+E20+E21+E22+E23+E24+E25+E26+E27+E28+E43+E44+E45+E46+E47+E48+E49+E50+E51+E52</f>
        <v>22502329.979999997</v>
      </c>
      <c r="F105" s="199">
        <f>F53+F54+F55+F56+F57+F58+F59+F60+F61+F62+F63+F64+F65+F82+F83+F84+F85+F86+F87+F88+F89+F90+F91</f>
        <v>22502329.980000004</v>
      </c>
      <c r="G105" s="600">
        <f>E105-F105</f>
        <v>0</v>
      </c>
    </row>
    <row r="106" spans="1:6" ht="22.5">
      <c r="A106" s="193" t="s">
        <v>366</v>
      </c>
      <c r="B106" s="194"/>
      <c r="C106" s="194"/>
      <c r="D106" s="195"/>
      <c r="E106" s="194"/>
      <c r="F106" s="196"/>
    </row>
    <row r="107" spans="1:6" ht="22.5">
      <c r="A107" s="197"/>
      <c r="B107" s="200" t="s">
        <v>63</v>
      </c>
      <c r="C107" s="200"/>
      <c r="D107" s="201"/>
      <c r="E107" s="183"/>
      <c r="F107" s="186"/>
    </row>
    <row r="108" spans="1:6" ht="23.25">
      <c r="A108" s="172"/>
      <c r="B108" s="173"/>
      <c r="C108" s="173"/>
      <c r="D108" s="174"/>
      <c r="E108" s="175"/>
      <c r="F108" s="176"/>
    </row>
    <row r="109" spans="1:6" ht="23.25">
      <c r="A109" s="165"/>
      <c r="B109" s="166" t="s">
        <v>360</v>
      </c>
      <c r="C109" s="166"/>
      <c r="D109" s="166"/>
      <c r="E109" s="167" t="s">
        <v>361</v>
      </c>
      <c r="F109" s="168"/>
    </row>
    <row r="110" spans="1:6" ht="23.25">
      <c r="A110" s="165"/>
      <c r="B110" s="166"/>
      <c r="C110" s="166"/>
      <c r="D110" s="166"/>
      <c r="E110" s="167"/>
      <c r="F110" s="168"/>
    </row>
    <row r="111" spans="1:6" ht="22.5">
      <c r="A111" s="159"/>
      <c r="B111" s="160"/>
      <c r="C111" s="160"/>
      <c r="D111" s="160"/>
      <c r="E111" s="160"/>
      <c r="F111" s="161"/>
    </row>
    <row r="112" spans="1:6" ht="22.5">
      <c r="A112" s="159" t="s">
        <v>362</v>
      </c>
      <c r="B112" s="160"/>
      <c r="C112" s="160"/>
      <c r="D112" s="169"/>
      <c r="E112" s="170" t="s">
        <v>363</v>
      </c>
      <c r="F112" s="171"/>
    </row>
    <row r="113" spans="1:6" ht="22.5">
      <c r="A113" s="162" t="s">
        <v>367</v>
      </c>
      <c r="B113" s="163"/>
      <c r="C113" s="163"/>
      <c r="D113" s="163"/>
      <c r="E113" s="163" t="s">
        <v>364</v>
      </c>
      <c r="F113" s="164"/>
    </row>
    <row r="114" spans="1:6" ht="22.5">
      <c r="A114" s="160"/>
      <c r="B114" s="160"/>
      <c r="C114" s="160"/>
      <c r="D114" s="160"/>
      <c r="E114" s="160"/>
      <c r="F114" s="160"/>
    </row>
    <row r="115" spans="1:6" ht="23.25">
      <c r="A115" s="151"/>
      <c r="B115" s="151"/>
      <c r="E115" s="152" t="s">
        <v>355</v>
      </c>
      <c r="F115" s="153" t="s">
        <v>560</v>
      </c>
    </row>
    <row r="116" spans="3:6" ht="30">
      <c r="C116" s="154" t="s">
        <v>356</v>
      </c>
      <c r="E116" s="152" t="s">
        <v>357</v>
      </c>
      <c r="F116" s="155" t="s">
        <v>315</v>
      </c>
    </row>
    <row r="117" spans="1:6" ht="23.25">
      <c r="A117" s="151" t="s">
        <v>365</v>
      </c>
      <c r="B117" s="156" t="s">
        <v>561</v>
      </c>
      <c r="E117" s="157"/>
      <c r="F117" s="158"/>
    </row>
    <row r="118" spans="1:6" ht="22.5">
      <c r="A118" s="177" t="s">
        <v>130</v>
      </c>
      <c r="B118" s="178"/>
      <c r="C118" s="179" t="s">
        <v>358</v>
      </c>
      <c r="D118" s="180" t="s">
        <v>133</v>
      </c>
      <c r="E118" s="180" t="s">
        <v>359</v>
      </c>
      <c r="F118" s="180" t="s">
        <v>51</v>
      </c>
    </row>
    <row r="119" spans="1:6" ht="22.5">
      <c r="A119" s="181"/>
      <c r="B119" s="184" t="s">
        <v>632</v>
      </c>
      <c r="C119" s="186"/>
      <c r="D119" s="187" t="s">
        <v>292</v>
      </c>
      <c r="E119" s="188">
        <v>1242110.25</v>
      </c>
      <c r="F119" s="188"/>
    </row>
    <row r="120" spans="1:6" ht="22.5">
      <c r="A120" s="181"/>
      <c r="B120" s="593"/>
      <c r="C120" s="186"/>
      <c r="D120" s="187"/>
      <c r="E120" s="188"/>
      <c r="F120" s="188"/>
    </row>
    <row r="121" spans="1:6" ht="22.5">
      <c r="A121" s="181"/>
      <c r="B121" s="183"/>
      <c r="C121" s="184" t="s">
        <v>633</v>
      </c>
      <c r="D121" s="185" t="s">
        <v>293</v>
      </c>
      <c r="E121" s="188"/>
      <c r="F121" s="188">
        <f>SUM(E119)</f>
        <v>1242110.25</v>
      </c>
    </row>
    <row r="122" spans="1:6" ht="22.5">
      <c r="A122" s="181"/>
      <c r="B122" s="183"/>
      <c r="C122" s="186"/>
      <c r="D122" s="187"/>
      <c r="E122" s="188"/>
      <c r="F122" s="188"/>
    </row>
    <row r="123" spans="1:6" ht="22.5">
      <c r="A123" s="181"/>
      <c r="B123" s="183"/>
      <c r="C123" s="186"/>
      <c r="D123" s="187"/>
      <c r="E123" s="188"/>
      <c r="F123" s="188"/>
    </row>
    <row r="124" spans="1:6" ht="22.5">
      <c r="A124" s="181"/>
      <c r="B124" s="183"/>
      <c r="C124" s="186"/>
      <c r="D124" s="187"/>
      <c r="E124" s="188"/>
      <c r="F124" s="188"/>
    </row>
    <row r="125" spans="1:6" ht="22.5">
      <c r="A125" s="181"/>
      <c r="B125" s="183"/>
      <c r="C125" s="186"/>
      <c r="D125" s="187"/>
      <c r="E125" s="188"/>
      <c r="F125" s="188"/>
    </row>
    <row r="126" spans="1:6" ht="22.5">
      <c r="A126" s="181"/>
      <c r="B126" s="183"/>
      <c r="C126" s="186"/>
      <c r="D126" s="187"/>
      <c r="E126" s="188"/>
      <c r="F126" s="188"/>
    </row>
    <row r="127" spans="1:6" ht="22.5">
      <c r="A127" s="181"/>
      <c r="B127" s="183"/>
      <c r="C127" s="186"/>
      <c r="D127" s="187"/>
      <c r="E127" s="188"/>
      <c r="F127" s="188"/>
    </row>
    <row r="128" spans="1:6" ht="22.5">
      <c r="A128" s="181"/>
      <c r="B128" s="183"/>
      <c r="C128" s="186"/>
      <c r="D128" s="187"/>
      <c r="E128" s="188"/>
      <c r="F128" s="188"/>
    </row>
    <row r="129" spans="1:6" ht="22.5">
      <c r="A129" s="181"/>
      <c r="B129" s="183"/>
      <c r="C129" s="186"/>
      <c r="D129" s="187"/>
      <c r="E129" s="188"/>
      <c r="F129" s="188"/>
    </row>
    <row r="130" spans="1:6" ht="22.5">
      <c r="A130" s="181"/>
      <c r="B130" s="183"/>
      <c r="C130" s="186"/>
      <c r="D130" s="187"/>
      <c r="E130" s="188"/>
      <c r="F130" s="188"/>
    </row>
    <row r="131" spans="1:6" ht="22.5">
      <c r="A131" s="181"/>
      <c r="B131" s="183"/>
      <c r="C131" s="186"/>
      <c r="D131" s="187"/>
      <c r="E131" s="188"/>
      <c r="F131" s="188"/>
    </row>
    <row r="132" spans="1:6" ht="22.5">
      <c r="A132" s="181"/>
      <c r="B132" s="183"/>
      <c r="C132" s="186"/>
      <c r="D132" s="187"/>
      <c r="E132" s="188"/>
      <c r="F132" s="188"/>
    </row>
    <row r="133" spans="1:6" ht="22.5">
      <c r="A133" s="181"/>
      <c r="B133" s="183"/>
      <c r="C133" s="186"/>
      <c r="D133" s="187"/>
      <c r="E133" s="188"/>
      <c r="F133" s="188"/>
    </row>
    <row r="134" spans="1:6" ht="22.5">
      <c r="A134" s="181"/>
      <c r="B134" s="183"/>
      <c r="C134" s="186"/>
      <c r="D134" s="187"/>
      <c r="E134" s="188"/>
      <c r="F134" s="188"/>
    </row>
    <row r="135" spans="1:6" ht="22.5">
      <c r="A135" s="181"/>
      <c r="B135" s="183"/>
      <c r="C135" s="186"/>
      <c r="D135" s="187"/>
      <c r="E135" s="188"/>
      <c r="F135" s="188"/>
    </row>
    <row r="136" spans="1:6" ht="22.5">
      <c r="A136" s="181"/>
      <c r="B136" s="183"/>
      <c r="C136" s="186"/>
      <c r="D136" s="187"/>
      <c r="E136" s="188"/>
      <c r="F136" s="188"/>
    </row>
    <row r="137" spans="1:6" ht="22.5">
      <c r="A137" s="181"/>
      <c r="B137" s="183"/>
      <c r="C137" s="186"/>
      <c r="D137" s="187"/>
      <c r="E137" s="188"/>
      <c r="F137" s="188"/>
    </row>
    <row r="138" spans="1:6" ht="22.5">
      <c r="A138" s="181"/>
      <c r="B138" s="183"/>
      <c r="C138" s="186"/>
      <c r="D138" s="187"/>
      <c r="E138" s="188"/>
      <c r="F138" s="188"/>
    </row>
    <row r="139" spans="1:6" ht="22.5">
      <c r="A139" s="181"/>
      <c r="B139" s="183"/>
      <c r="C139" s="186"/>
      <c r="D139" s="187"/>
      <c r="E139" s="188"/>
      <c r="F139" s="188"/>
    </row>
    <row r="140" spans="1:6" ht="22.5">
      <c r="A140" s="181"/>
      <c r="B140" s="183"/>
      <c r="C140" s="186"/>
      <c r="D140" s="187"/>
      <c r="E140" s="188"/>
      <c r="F140" s="188"/>
    </row>
    <row r="141" spans="1:6" ht="22.5">
      <c r="A141" s="181"/>
      <c r="B141" s="183"/>
      <c r="C141" s="186"/>
      <c r="D141" s="187"/>
      <c r="E141" s="188"/>
      <c r="F141" s="188"/>
    </row>
    <row r="142" spans="1:6" ht="22.5">
      <c r="A142" s="181"/>
      <c r="B142" s="183"/>
      <c r="C142" s="186"/>
      <c r="D142" s="187"/>
      <c r="E142" s="188"/>
      <c r="F142" s="188"/>
    </row>
    <row r="143" spans="1:6" ht="22.5">
      <c r="A143" s="189"/>
      <c r="B143" s="190"/>
      <c r="C143" s="191"/>
      <c r="D143" s="192"/>
      <c r="E143" s="199">
        <f>E119</f>
        <v>1242110.25</v>
      </c>
      <c r="F143" s="199">
        <f>F121</f>
        <v>1242110.25</v>
      </c>
    </row>
    <row r="144" spans="1:6" ht="22.5">
      <c r="A144" s="193" t="s">
        <v>366</v>
      </c>
      <c r="B144" s="194"/>
      <c r="C144" s="194"/>
      <c r="D144" s="195"/>
      <c r="E144" s="194"/>
      <c r="F144" s="196"/>
    </row>
    <row r="145" spans="1:6" ht="22.5">
      <c r="A145" s="197"/>
      <c r="B145" s="200" t="s">
        <v>63</v>
      </c>
      <c r="C145" s="200"/>
      <c r="D145" s="201"/>
      <c r="E145" s="183"/>
      <c r="F145" s="186"/>
    </row>
    <row r="146" spans="1:6" ht="23.25">
      <c r="A146" s="172"/>
      <c r="B146" s="173"/>
      <c r="C146" s="173"/>
      <c r="D146" s="174"/>
      <c r="E146" s="175"/>
      <c r="F146" s="176"/>
    </row>
    <row r="147" spans="1:6" ht="23.25">
      <c r="A147" s="165"/>
      <c r="B147" s="166" t="s">
        <v>360</v>
      </c>
      <c r="C147" s="166"/>
      <c r="D147" s="166"/>
      <c r="E147" s="167" t="s">
        <v>361</v>
      </c>
      <c r="F147" s="168"/>
    </row>
    <row r="148" spans="1:6" ht="23.25">
      <c r="A148" s="165"/>
      <c r="B148" s="166"/>
      <c r="C148" s="166"/>
      <c r="D148" s="166"/>
      <c r="E148" s="167"/>
      <c r="F148" s="168"/>
    </row>
    <row r="149" spans="1:6" ht="22.5">
      <c r="A149" s="159"/>
      <c r="B149" s="160"/>
      <c r="C149" s="160"/>
      <c r="D149" s="160"/>
      <c r="E149" s="160"/>
      <c r="F149" s="161"/>
    </row>
    <row r="150" spans="1:6" ht="22.5">
      <c r="A150" s="159" t="s">
        <v>362</v>
      </c>
      <c r="B150" s="160"/>
      <c r="C150" s="160"/>
      <c r="D150" s="169"/>
      <c r="E150" s="170" t="s">
        <v>363</v>
      </c>
      <c r="F150" s="171"/>
    </row>
    <row r="151" spans="1:6" ht="22.5">
      <c r="A151" s="162" t="s">
        <v>367</v>
      </c>
      <c r="B151" s="163"/>
      <c r="C151" s="163"/>
      <c r="D151" s="163"/>
      <c r="E151" s="163" t="s">
        <v>364</v>
      </c>
      <c r="F151" s="164"/>
    </row>
  </sheetData>
  <sheetProtection/>
  <printOptions/>
  <pageMargins left="0.3937007874015748" right="0" top="0" bottom="0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8"/>
  <sheetViews>
    <sheetView zoomScalePageLayoutView="0" workbookViewId="0" topLeftCell="A40">
      <selection activeCell="H23" sqref="A1:H23"/>
    </sheetView>
  </sheetViews>
  <sheetFormatPr defaultColWidth="9.140625" defaultRowHeight="21.75"/>
  <cols>
    <col min="1" max="1" width="43.7109375" style="45" customWidth="1"/>
    <col min="2" max="2" width="11.57421875" style="45" customWidth="1"/>
    <col min="3" max="3" width="14.140625" style="103" customWidth="1"/>
    <col min="4" max="4" width="11.7109375" style="45" customWidth="1"/>
    <col min="5" max="5" width="12.28125" style="45" customWidth="1"/>
    <col min="6" max="6" width="12.57421875" style="45" customWidth="1"/>
    <col min="7" max="7" width="13.7109375" style="45" customWidth="1"/>
    <col min="8" max="8" width="14.00390625" style="45" customWidth="1"/>
    <col min="9" max="16384" width="9.140625" style="45" customWidth="1"/>
  </cols>
  <sheetData>
    <row r="1" ht="22.5" customHeight="1">
      <c r="H1" s="48" t="s">
        <v>162</v>
      </c>
    </row>
    <row r="2" spans="1:8" ht="26.25">
      <c r="A2" s="49" t="s">
        <v>218</v>
      </c>
      <c r="B2" s="49"/>
      <c r="C2" s="104"/>
      <c r="D2" s="49"/>
      <c r="E2" s="49"/>
      <c r="F2" s="49"/>
      <c r="G2" s="49"/>
      <c r="H2" s="49"/>
    </row>
    <row r="3" spans="1:8" ht="26.25">
      <c r="A3" s="49" t="s">
        <v>618</v>
      </c>
      <c r="B3" s="49"/>
      <c r="C3" s="104"/>
      <c r="D3" s="49"/>
      <c r="E3" s="49"/>
      <c r="F3" s="49"/>
      <c r="G3" s="49"/>
      <c r="H3" s="49"/>
    </row>
    <row r="4" spans="1:15" ht="26.25">
      <c r="A4" s="814" t="s">
        <v>315</v>
      </c>
      <c r="B4" s="814"/>
      <c r="C4" s="814"/>
      <c r="D4" s="814"/>
      <c r="E4" s="814"/>
      <c r="F4" s="814"/>
      <c r="G4" s="814"/>
      <c r="H4" s="814"/>
      <c r="I4" s="50"/>
      <c r="K4" s="815"/>
      <c r="L4" s="815"/>
      <c r="M4" s="815"/>
      <c r="N4" s="815"/>
      <c r="O4" s="815"/>
    </row>
    <row r="5" spans="1:15" ht="15.75" customHeight="1">
      <c r="A5" s="105"/>
      <c r="B5" s="105"/>
      <c r="C5" s="106"/>
      <c r="D5" s="105"/>
      <c r="E5" s="105"/>
      <c r="F5" s="105"/>
      <c r="G5" s="105"/>
      <c r="H5" s="105"/>
      <c r="I5" s="50"/>
      <c r="K5" s="51"/>
      <c r="L5" s="51"/>
      <c r="M5" s="51"/>
      <c r="N5" s="51"/>
      <c r="O5" s="51"/>
    </row>
    <row r="6" spans="1:8" ht="23.25">
      <c r="A6" s="107" t="s">
        <v>163</v>
      </c>
      <c r="B6" s="108"/>
      <c r="C6" s="109"/>
      <c r="D6" s="108"/>
      <c r="E6" s="108"/>
      <c r="F6" s="108"/>
      <c r="G6" s="108"/>
      <c r="H6" s="108"/>
    </row>
    <row r="7" spans="1:8" ht="23.25">
      <c r="A7" s="46" t="s">
        <v>35</v>
      </c>
      <c r="B7" s="52" t="s">
        <v>133</v>
      </c>
      <c r="C7" s="110" t="s">
        <v>256</v>
      </c>
      <c r="D7" s="46" t="s">
        <v>164</v>
      </c>
      <c r="E7" s="111" t="s">
        <v>165</v>
      </c>
      <c r="F7" s="46" t="s">
        <v>166</v>
      </c>
      <c r="G7" s="111" t="s">
        <v>167</v>
      </c>
      <c r="H7" s="111" t="s">
        <v>20</v>
      </c>
    </row>
    <row r="8" spans="1:8" ht="21.75">
      <c r="A8" s="112" t="s">
        <v>157</v>
      </c>
      <c r="B8" s="113">
        <v>230102</v>
      </c>
      <c r="C8" s="114">
        <v>3713</v>
      </c>
      <c r="D8" s="115">
        <v>20972.64</v>
      </c>
      <c r="E8" s="116">
        <v>43919.57</v>
      </c>
      <c r="F8" s="117">
        <v>3842.2</v>
      </c>
      <c r="G8" s="117">
        <v>26659.93</v>
      </c>
      <c r="H8" s="118">
        <f>SUM(C8+E8-G8)</f>
        <v>20972.64</v>
      </c>
    </row>
    <row r="9" spans="1:8" ht="20.25">
      <c r="A9" s="119" t="s">
        <v>159</v>
      </c>
      <c r="B9" s="120">
        <v>230108</v>
      </c>
      <c r="C9" s="121">
        <v>155017</v>
      </c>
      <c r="D9" s="122">
        <v>180614</v>
      </c>
      <c r="E9" s="123">
        <v>262710</v>
      </c>
      <c r="F9" s="124">
        <v>0</v>
      </c>
      <c r="G9" s="124">
        <v>101042</v>
      </c>
      <c r="H9" s="124">
        <f>SUM(C9+E9-G9)</f>
        <v>316685</v>
      </c>
    </row>
    <row r="10" spans="1:8" ht="20.25">
      <c r="A10" s="119" t="s">
        <v>257</v>
      </c>
      <c r="B10" s="120">
        <v>230105</v>
      </c>
      <c r="C10" s="121">
        <v>3244.3</v>
      </c>
      <c r="D10" s="125">
        <v>0.6</v>
      </c>
      <c r="E10" s="123">
        <v>2995.9</v>
      </c>
      <c r="F10" s="124">
        <v>0</v>
      </c>
      <c r="G10" s="124">
        <v>3259.65</v>
      </c>
      <c r="H10" s="124">
        <f>SUM(C10+E10-G10)</f>
        <v>2980.5500000000006</v>
      </c>
    </row>
    <row r="11" spans="1:8" ht="20.25">
      <c r="A11" s="119" t="s">
        <v>258</v>
      </c>
      <c r="B11" s="120">
        <v>230106</v>
      </c>
      <c r="C11" s="121">
        <v>3893.16</v>
      </c>
      <c r="D11" s="125">
        <v>0.72</v>
      </c>
      <c r="E11" s="123">
        <v>3595.08</v>
      </c>
      <c r="F11" s="126">
        <v>0</v>
      </c>
      <c r="G11" s="126">
        <v>3911.58</v>
      </c>
      <c r="H11" s="126">
        <f>SUM(C11+E11-G11)</f>
        <v>3576.66</v>
      </c>
    </row>
    <row r="12" spans="1:8" ht="20.25">
      <c r="A12" s="611" t="s">
        <v>614</v>
      </c>
      <c r="B12" s="612">
        <v>230199</v>
      </c>
      <c r="C12" s="613">
        <v>84600</v>
      </c>
      <c r="D12" s="614">
        <v>0</v>
      </c>
      <c r="E12" s="614">
        <v>0</v>
      </c>
      <c r="F12" s="615">
        <v>0</v>
      </c>
      <c r="G12" s="615">
        <v>0</v>
      </c>
      <c r="H12" s="615">
        <f>SUM(C12+E12-G12)</f>
        <v>84600</v>
      </c>
    </row>
    <row r="13" spans="1:8" ht="26.25" customHeight="1" thickBot="1">
      <c r="A13" s="53" t="s">
        <v>0</v>
      </c>
      <c r="B13" s="127"/>
      <c r="C13" s="128">
        <f aca="true" t="shared" si="0" ref="C13:H13">SUM(C8:C12)</f>
        <v>250467.46</v>
      </c>
      <c r="D13" s="129">
        <f t="shared" si="0"/>
        <v>201587.96000000002</v>
      </c>
      <c r="E13" s="130">
        <f t="shared" si="0"/>
        <v>313220.55000000005</v>
      </c>
      <c r="F13" s="131">
        <f t="shared" si="0"/>
        <v>3842.2</v>
      </c>
      <c r="G13" s="132">
        <f t="shared" si="0"/>
        <v>134873.15999999997</v>
      </c>
      <c r="H13" s="132">
        <f t="shared" si="0"/>
        <v>428814.85</v>
      </c>
    </row>
    <row r="14" ht="21" thickTop="1"/>
    <row r="15" spans="1:8" ht="23.25">
      <c r="A15" s="107" t="s">
        <v>617</v>
      </c>
      <c r="B15" s="108"/>
      <c r="C15" s="108"/>
      <c r="D15" s="108"/>
      <c r="E15" s="108"/>
      <c r="F15" s="108"/>
      <c r="G15" s="147"/>
      <c r="H15" s="146"/>
    </row>
    <row r="16" spans="1:8" ht="21">
      <c r="A16" s="46" t="s">
        <v>35</v>
      </c>
      <c r="B16" s="52" t="s">
        <v>133</v>
      </c>
      <c r="C16" s="145" t="s">
        <v>347</v>
      </c>
      <c r="D16" s="46" t="s">
        <v>164</v>
      </c>
      <c r="E16" s="111" t="s">
        <v>165</v>
      </c>
      <c r="F16" s="46" t="s">
        <v>166</v>
      </c>
      <c r="G16" s="111" t="s">
        <v>167</v>
      </c>
      <c r="H16" s="111" t="s">
        <v>20</v>
      </c>
    </row>
    <row r="17" spans="1:8" ht="20.25">
      <c r="A17" s="143" t="s">
        <v>615</v>
      </c>
      <c r="B17" s="120">
        <v>230199</v>
      </c>
      <c r="C17" s="148">
        <v>335298.39</v>
      </c>
      <c r="D17" s="125">
        <v>458.81</v>
      </c>
      <c r="E17" s="123">
        <f>9+415.47+38+458.81</f>
        <v>921.28</v>
      </c>
      <c r="F17" s="126">
        <v>6000</v>
      </c>
      <c r="G17" s="126">
        <f>6000</f>
        <v>6000</v>
      </c>
      <c r="H17" s="126">
        <f>C17+E17-G17</f>
        <v>330219.67000000004</v>
      </c>
    </row>
    <row r="18" spans="1:8" ht="20.25">
      <c r="A18" s="143"/>
      <c r="B18" s="601"/>
      <c r="C18" s="150"/>
      <c r="D18" s="125"/>
      <c r="E18" s="125"/>
      <c r="F18" s="126"/>
      <c r="G18" s="126"/>
      <c r="H18" s="126"/>
    </row>
    <row r="19" spans="1:8" ht="20.25">
      <c r="A19" s="144"/>
      <c r="B19" s="120"/>
      <c r="C19" s="120"/>
      <c r="D19" s="125"/>
      <c r="E19" s="125"/>
      <c r="F19" s="126"/>
      <c r="G19" s="126"/>
      <c r="H19" s="126"/>
    </row>
    <row r="20" spans="1:8" ht="20.25">
      <c r="A20" s="617"/>
      <c r="B20" s="618"/>
      <c r="C20" s="618"/>
      <c r="D20" s="614"/>
      <c r="E20" s="614"/>
      <c r="F20" s="615"/>
      <c r="G20" s="615"/>
      <c r="H20" s="615"/>
    </row>
    <row r="21" spans="1:8" ht="21.75" thickBot="1">
      <c r="A21" s="149" t="s">
        <v>0</v>
      </c>
      <c r="C21" s="616">
        <f>SUM(C17:C20)</f>
        <v>335298.39</v>
      </c>
      <c r="D21" s="129">
        <f>D17+D18+D19</f>
        <v>458.81</v>
      </c>
      <c r="E21" s="130">
        <f>SUM(E17:E20)</f>
        <v>921.28</v>
      </c>
      <c r="F21" s="131">
        <f>SUM(F17:F20)</f>
        <v>6000</v>
      </c>
      <c r="G21" s="132">
        <f>SUM(G17:G20)</f>
        <v>6000</v>
      </c>
      <c r="H21" s="132">
        <f>SUM(H17:H20)</f>
        <v>330219.67000000004</v>
      </c>
    </row>
    <row r="22" ht="21" thickTop="1">
      <c r="C22" s="45"/>
    </row>
    <row r="24" ht="23.25">
      <c r="H24" s="609" t="s">
        <v>619</v>
      </c>
    </row>
    <row r="25" spans="1:8" ht="26.25">
      <c r="A25" s="49" t="s">
        <v>218</v>
      </c>
      <c r="B25" s="49"/>
      <c r="C25" s="104"/>
      <c r="D25" s="49"/>
      <c r="E25" s="49"/>
      <c r="F25" s="49"/>
      <c r="G25" s="49"/>
      <c r="H25" s="49"/>
    </row>
    <row r="26" spans="1:8" ht="26.25">
      <c r="A26" s="49" t="s">
        <v>618</v>
      </c>
      <c r="B26" s="49"/>
      <c r="C26" s="104"/>
      <c r="D26" s="49"/>
      <c r="E26" s="49"/>
      <c r="F26" s="49"/>
      <c r="G26" s="49"/>
      <c r="H26" s="49"/>
    </row>
    <row r="27" spans="1:9" ht="26.25">
      <c r="A27" s="814" t="s">
        <v>315</v>
      </c>
      <c r="B27" s="814"/>
      <c r="C27" s="814"/>
      <c r="D27" s="814"/>
      <c r="E27" s="814"/>
      <c r="F27" s="814"/>
      <c r="G27" s="814"/>
      <c r="H27" s="814"/>
      <c r="I27" s="50"/>
    </row>
    <row r="28" spans="1:9" ht="26.25">
      <c r="A28" s="105"/>
      <c r="B28" s="105"/>
      <c r="C28" s="106"/>
      <c r="D28" s="105"/>
      <c r="E28" s="105"/>
      <c r="F28" s="105"/>
      <c r="G28" s="105"/>
      <c r="H28" s="105"/>
      <c r="I28" s="50"/>
    </row>
    <row r="29" spans="1:8" ht="23.25">
      <c r="A29" s="107" t="s">
        <v>620</v>
      </c>
      <c r="B29" s="108"/>
      <c r="C29" s="109"/>
      <c r="D29" s="108"/>
      <c r="E29" s="108"/>
      <c r="F29" s="108"/>
      <c r="G29" s="108"/>
      <c r="H29" s="108"/>
    </row>
    <row r="30" spans="1:8" ht="23.25">
      <c r="A30" s="46" t="s">
        <v>35</v>
      </c>
      <c r="B30" s="52" t="s">
        <v>133</v>
      </c>
      <c r="C30" s="110" t="s">
        <v>256</v>
      </c>
      <c r="D30" s="46" t="s">
        <v>164</v>
      </c>
      <c r="E30" s="111" t="s">
        <v>165</v>
      </c>
      <c r="F30" s="46" t="s">
        <v>166</v>
      </c>
      <c r="G30" s="111" t="s">
        <v>167</v>
      </c>
      <c r="H30" s="111" t="s">
        <v>20</v>
      </c>
    </row>
    <row r="31" spans="1:8" ht="21.75">
      <c r="A31" s="112" t="s">
        <v>621</v>
      </c>
      <c r="B31" s="113">
        <v>110610</v>
      </c>
      <c r="C31" s="622">
        <v>0</v>
      </c>
      <c r="D31" s="115">
        <v>64900</v>
      </c>
      <c r="E31" s="116">
        <v>64900</v>
      </c>
      <c r="F31" s="626">
        <v>0</v>
      </c>
      <c r="G31" s="626">
        <v>0</v>
      </c>
      <c r="H31" s="118">
        <f>SUM(C31+E31-G31)</f>
        <v>64900</v>
      </c>
    </row>
    <row r="32" spans="1:8" ht="20.25">
      <c r="A32" s="119" t="s">
        <v>622</v>
      </c>
      <c r="B32" s="120">
        <v>110610</v>
      </c>
      <c r="C32" s="623">
        <v>0</v>
      </c>
      <c r="D32" s="122">
        <v>7500</v>
      </c>
      <c r="E32" s="123">
        <v>7500</v>
      </c>
      <c r="F32" s="627">
        <v>0</v>
      </c>
      <c r="G32" s="627">
        <v>0</v>
      </c>
      <c r="H32" s="124">
        <f>SUM(C32+E32-G32)</f>
        <v>7500</v>
      </c>
    </row>
    <row r="33" spans="1:8" ht="20.25">
      <c r="A33" s="119" t="s">
        <v>623</v>
      </c>
      <c r="B33" s="120">
        <v>110610</v>
      </c>
      <c r="C33" s="623">
        <v>0</v>
      </c>
      <c r="D33" s="125">
        <v>1089</v>
      </c>
      <c r="E33" s="123">
        <v>1089</v>
      </c>
      <c r="F33" s="627">
        <v>0</v>
      </c>
      <c r="G33" s="627">
        <v>0</v>
      </c>
      <c r="H33" s="124">
        <f>SUM(C33+E33-G33)</f>
        <v>1089</v>
      </c>
    </row>
    <row r="34" spans="1:8" ht="20.25">
      <c r="A34" s="621" t="s">
        <v>624</v>
      </c>
      <c r="B34" s="618">
        <v>110610</v>
      </c>
      <c r="C34" s="623">
        <v>0</v>
      </c>
      <c r="D34" s="125">
        <v>3500</v>
      </c>
      <c r="E34" s="123">
        <v>3500</v>
      </c>
      <c r="F34" s="125">
        <v>0</v>
      </c>
      <c r="G34" s="125">
        <v>0</v>
      </c>
      <c r="H34" s="126">
        <f>SUM(C34+E34-G34)</f>
        <v>3500</v>
      </c>
    </row>
    <row r="35" spans="1:8" ht="20.25">
      <c r="A35" s="619"/>
      <c r="B35" s="620"/>
      <c r="C35" s="624"/>
      <c r="D35" s="614"/>
      <c r="E35" s="614"/>
      <c r="F35" s="614"/>
      <c r="G35" s="614"/>
      <c r="H35" s="615"/>
    </row>
    <row r="36" spans="1:8" ht="21.75" thickBot="1">
      <c r="A36" s="53" t="s">
        <v>0</v>
      </c>
      <c r="B36" s="127"/>
      <c r="C36" s="625">
        <f aca="true" t="shared" si="1" ref="C36:H36">SUM(C31:C35)</f>
        <v>0</v>
      </c>
      <c r="D36" s="129">
        <f t="shared" si="1"/>
        <v>76989</v>
      </c>
      <c r="E36" s="130">
        <f t="shared" si="1"/>
        <v>76989</v>
      </c>
      <c r="F36" s="628">
        <f t="shared" si="1"/>
        <v>0</v>
      </c>
      <c r="G36" s="629">
        <f t="shared" si="1"/>
        <v>0</v>
      </c>
      <c r="H36" s="132">
        <f t="shared" si="1"/>
        <v>76989</v>
      </c>
    </row>
    <row r="37" spans="1:10" s="55" customFormat="1" ht="23.25" thickTop="1">
      <c r="A37" s="45"/>
      <c r="B37" s="45"/>
      <c r="C37" s="45"/>
      <c r="D37" s="45"/>
      <c r="E37" s="45"/>
      <c r="F37" s="45"/>
      <c r="G37" s="45"/>
      <c r="H37" s="45"/>
      <c r="I37" s="45"/>
      <c r="J37" s="45"/>
    </row>
    <row r="38" spans="1:10" s="55" customFormat="1" ht="22.5">
      <c r="A38" s="45"/>
      <c r="B38" s="45"/>
      <c r="C38" s="103"/>
      <c r="D38" s="45"/>
      <c r="E38" s="45"/>
      <c r="F38" s="45"/>
      <c r="G38" s="45"/>
      <c r="H38" s="45"/>
      <c r="I38" s="45"/>
      <c r="J38" s="45"/>
    </row>
    <row r="39" spans="3:8" s="55" customFormat="1" ht="22.5">
      <c r="C39" s="133"/>
      <c r="H39" s="56"/>
    </row>
    <row r="40" spans="3:8" s="55" customFormat="1" ht="22.5">
      <c r="C40" s="133"/>
      <c r="H40" s="56"/>
    </row>
    <row r="41" spans="3:8" s="55" customFormat="1" ht="22.5">
      <c r="C41" s="133"/>
      <c r="H41" s="56"/>
    </row>
    <row r="42" spans="3:8" s="55" customFormat="1" ht="22.5">
      <c r="C42" s="133"/>
      <c r="H42" s="56"/>
    </row>
    <row r="43" spans="3:8" s="55" customFormat="1" ht="22.5">
      <c r="C43" s="133"/>
      <c r="H43" s="56"/>
    </row>
    <row r="44" spans="3:8" s="55" customFormat="1" ht="22.5">
      <c r="C44" s="133"/>
      <c r="H44" s="56"/>
    </row>
    <row r="45" spans="3:8" s="55" customFormat="1" ht="22.5">
      <c r="C45" s="133"/>
      <c r="H45" s="56"/>
    </row>
    <row r="46" spans="3:8" s="55" customFormat="1" ht="22.5">
      <c r="C46" s="133"/>
      <c r="H46" s="56"/>
    </row>
    <row r="47" spans="3:8" s="55" customFormat="1" ht="22.5">
      <c r="C47" s="133"/>
      <c r="H47" s="56"/>
    </row>
    <row r="48" spans="3:8" s="55" customFormat="1" ht="22.5">
      <c r="C48" s="133"/>
      <c r="H48" s="56"/>
    </row>
    <row r="49" spans="3:8" s="55" customFormat="1" ht="22.5">
      <c r="C49" s="133"/>
      <c r="H49" s="56"/>
    </row>
    <row r="50" spans="3:8" s="55" customFormat="1" ht="22.5">
      <c r="C50" s="133"/>
      <c r="H50" s="56"/>
    </row>
    <row r="51" spans="3:8" s="55" customFormat="1" ht="22.5">
      <c r="C51" s="133"/>
      <c r="H51" s="56"/>
    </row>
    <row r="52" spans="3:8" s="55" customFormat="1" ht="22.5">
      <c r="C52" s="133"/>
      <c r="H52" s="56"/>
    </row>
    <row r="53" spans="3:8" s="55" customFormat="1" ht="22.5">
      <c r="C53" s="133"/>
      <c r="H53" s="56"/>
    </row>
    <row r="54" spans="3:8" s="55" customFormat="1" ht="22.5">
      <c r="C54" s="133"/>
      <c r="H54" s="56"/>
    </row>
    <row r="55" spans="3:8" s="55" customFormat="1" ht="22.5">
      <c r="C55" s="133"/>
      <c r="H55" s="56"/>
    </row>
    <row r="56" spans="3:8" s="55" customFormat="1" ht="22.5">
      <c r="C56" s="133"/>
      <c r="H56" s="56"/>
    </row>
    <row r="57" spans="3:8" s="55" customFormat="1" ht="22.5">
      <c r="C57" s="133"/>
      <c r="H57" s="56"/>
    </row>
    <row r="58" spans="3:8" s="55" customFormat="1" ht="22.5">
      <c r="C58" s="133"/>
      <c r="H58" s="56"/>
    </row>
    <row r="59" spans="3:8" s="55" customFormat="1" ht="22.5">
      <c r="C59" s="133"/>
      <c r="H59" s="56"/>
    </row>
    <row r="60" spans="3:8" s="55" customFormat="1" ht="22.5">
      <c r="C60" s="133"/>
      <c r="H60" s="56"/>
    </row>
    <row r="61" spans="3:8" s="55" customFormat="1" ht="22.5">
      <c r="C61" s="133"/>
      <c r="H61" s="56"/>
    </row>
    <row r="62" spans="3:8" s="55" customFormat="1" ht="22.5">
      <c r="C62" s="133"/>
      <c r="H62" s="56"/>
    </row>
    <row r="63" spans="3:8" s="55" customFormat="1" ht="22.5">
      <c r="C63" s="133"/>
      <c r="H63" s="56"/>
    </row>
    <row r="64" spans="3:8" s="55" customFormat="1" ht="22.5">
      <c r="C64" s="133"/>
      <c r="H64" s="56"/>
    </row>
    <row r="65" spans="3:8" s="55" customFormat="1" ht="22.5">
      <c r="C65" s="133"/>
      <c r="H65" s="56"/>
    </row>
    <row r="66" spans="3:8" s="55" customFormat="1" ht="22.5">
      <c r="C66" s="133"/>
      <c r="H66" s="56"/>
    </row>
    <row r="67" spans="3:8" s="55" customFormat="1" ht="22.5">
      <c r="C67" s="133"/>
      <c r="H67" s="56"/>
    </row>
    <row r="68" spans="3:8" s="55" customFormat="1" ht="22.5">
      <c r="C68" s="133"/>
      <c r="H68" s="56"/>
    </row>
    <row r="69" spans="3:8" s="55" customFormat="1" ht="22.5">
      <c r="C69" s="133"/>
      <c r="H69" s="56"/>
    </row>
    <row r="70" spans="3:8" s="55" customFormat="1" ht="22.5">
      <c r="C70" s="133"/>
      <c r="H70" s="56"/>
    </row>
    <row r="71" spans="3:8" s="55" customFormat="1" ht="22.5">
      <c r="C71" s="133"/>
      <c r="H71" s="56"/>
    </row>
    <row r="72" spans="3:8" s="55" customFormat="1" ht="22.5">
      <c r="C72" s="133"/>
      <c r="H72" s="56"/>
    </row>
    <row r="73" spans="3:8" s="55" customFormat="1" ht="22.5">
      <c r="C73" s="133"/>
      <c r="H73" s="56"/>
    </row>
    <row r="74" spans="3:8" s="55" customFormat="1" ht="22.5">
      <c r="C74" s="133"/>
      <c r="H74" s="56"/>
    </row>
    <row r="75" spans="3:8" s="55" customFormat="1" ht="22.5">
      <c r="C75" s="133"/>
      <c r="H75" s="56"/>
    </row>
    <row r="76" spans="3:8" s="55" customFormat="1" ht="22.5">
      <c r="C76" s="133"/>
      <c r="H76" s="56"/>
    </row>
    <row r="77" spans="3:8" s="55" customFormat="1" ht="22.5">
      <c r="C77" s="133"/>
      <c r="H77" s="56"/>
    </row>
    <row r="78" spans="3:8" s="55" customFormat="1" ht="22.5">
      <c r="C78" s="133"/>
      <c r="H78" s="56"/>
    </row>
    <row r="79" spans="3:8" s="55" customFormat="1" ht="22.5">
      <c r="C79" s="133"/>
      <c r="H79" s="56"/>
    </row>
    <row r="80" spans="3:8" s="55" customFormat="1" ht="22.5">
      <c r="C80" s="133"/>
      <c r="H80" s="56"/>
    </row>
    <row r="81" spans="3:8" s="55" customFormat="1" ht="22.5">
      <c r="C81" s="133"/>
      <c r="H81" s="56"/>
    </row>
    <row r="82" spans="3:8" s="55" customFormat="1" ht="22.5">
      <c r="C82" s="133"/>
      <c r="H82" s="56"/>
    </row>
    <row r="83" ht="20.25">
      <c r="H83" s="54"/>
    </row>
    <row r="84" ht="20.25">
      <c r="H84" s="54"/>
    </row>
    <row r="85" ht="20.25">
      <c r="H85" s="54"/>
    </row>
    <row r="86" ht="20.25">
      <c r="H86" s="54"/>
    </row>
    <row r="87" ht="20.25">
      <c r="H87" s="54"/>
    </row>
    <row r="88" ht="20.25">
      <c r="H88" s="54"/>
    </row>
    <row r="89" ht="20.25">
      <c r="H89" s="54"/>
    </row>
    <row r="90" ht="20.25">
      <c r="H90" s="54"/>
    </row>
    <row r="91" ht="20.25">
      <c r="H91" s="54"/>
    </row>
    <row r="92" ht="20.25">
      <c r="H92" s="54"/>
    </row>
    <row r="93" ht="20.25">
      <c r="H93" s="54"/>
    </row>
    <row r="94" ht="20.25">
      <c r="H94" s="54"/>
    </row>
    <row r="95" ht="20.25">
      <c r="H95" s="54"/>
    </row>
    <row r="96" ht="20.25">
      <c r="H96" s="54"/>
    </row>
    <row r="97" ht="20.25">
      <c r="H97" s="54"/>
    </row>
    <row r="98" ht="20.25">
      <c r="H98" s="54"/>
    </row>
    <row r="99" ht="20.25">
      <c r="H99" s="54"/>
    </row>
    <row r="100" ht="20.25">
      <c r="H100" s="54"/>
    </row>
    <row r="101" ht="20.25">
      <c r="H101" s="54"/>
    </row>
    <row r="102" ht="20.25">
      <c r="H102" s="54"/>
    </row>
    <row r="103" ht="20.25">
      <c r="H103" s="54"/>
    </row>
    <row r="104" ht="20.25">
      <c r="H104" s="54"/>
    </row>
    <row r="105" ht="20.25">
      <c r="H105" s="54"/>
    </row>
    <row r="106" ht="20.25">
      <c r="H106" s="54"/>
    </row>
    <row r="107" ht="20.25">
      <c r="H107" s="54"/>
    </row>
    <row r="108" ht="20.25">
      <c r="H108" s="54"/>
    </row>
    <row r="109" ht="20.25">
      <c r="H109" s="54"/>
    </row>
    <row r="110" ht="20.25">
      <c r="H110" s="54"/>
    </row>
    <row r="111" ht="20.25">
      <c r="H111" s="54"/>
    </row>
    <row r="112" ht="20.25">
      <c r="H112" s="54"/>
    </row>
    <row r="113" ht="20.25">
      <c r="H113" s="54"/>
    </row>
    <row r="114" ht="20.25">
      <c r="H114" s="54"/>
    </row>
    <row r="115" ht="20.25">
      <c r="H115" s="54"/>
    </row>
    <row r="116" ht="20.25">
      <c r="H116" s="54"/>
    </row>
    <row r="117" ht="20.25">
      <c r="H117" s="54"/>
    </row>
    <row r="118" ht="20.25">
      <c r="H118" s="54"/>
    </row>
    <row r="119" ht="20.25">
      <c r="H119" s="54"/>
    </row>
    <row r="120" ht="20.25">
      <c r="H120" s="54"/>
    </row>
    <row r="121" ht="20.25">
      <c r="H121" s="54"/>
    </row>
    <row r="122" ht="20.25">
      <c r="H122" s="54"/>
    </row>
    <row r="123" ht="20.25">
      <c r="H123" s="54"/>
    </row>
    <row r="124" ht="20.25">
      <c r="H124" s="54"/>
    </row>
    <row r="125" ht="20.25">
      <c r="H125" s="54"/>
    </row>
    <row r="126" ht="20.25">
      <c r="H126" s="54"/>
    </row>
    <row r="127" ht="20.25">
      <c r="H127" s="54"/>
    </row>
    <row r="128" ht="20.25">
      <c r="H128" s="54"/>
    </row>
    <row r="129" ht="20.25">
      <c r="H129" s="54"/>
    </row>
    <row r="130" ht="20.25">
      <c r="H130" s="54"/>
    </row>
    <row r="131" ht="20.25">
      <c r="H131" s="54"/>
    </row>
    <row r="132" ht="20.25">
      <c r="H132" s="54"/>
    </row>
    <row r="133" ht="20.25">
      <c r="H133" s="54"/>
    </row>
    <row r="134" ht="20.25">
      <c r="H134" s="54"/>
    </row>
    <row r="135" ht="20.25">
      <c r="H135" s="54"/>
    </row>
    <row r="136" ht="20.25">
      <c r="H136" s="54"/>
    </row>
    <row r="137" ht="20.25">
      <c r="H137" s="54"/>
    </row>
    <row r="138" ht="20.25">
      <c r="H138" s="54"/>
    </row>
    <row r="139" ht="20.25">
      <c r="H139" s="54"/>
    </row>
    <row r="140" ht="20.25">
      <c r="H140" s="54"/>
    </row>
    <row r="141" ht="20.25">
      <c r="H141" s="54"/>
    </row>
    <row r="142" ht="20.25">
      <c r="H142" s="54"/>
    </row>
    <row r="143" ht="20.25">
      <c r="H143" s="54"/>
    </row>
    <row r="144" ht="20.25">
      <c r="H144" s="54"/>
    </row>
    <row r="145" ht="20.25">
      <c r="H145" s="54"/>
    </row>
    <row r="146" spans="1:8" ht="26.25">
      <c r="A146" s="49" t="s">
        <v>170</v>
      </c>
      <c r="B146" s="49"/>
      <c r="C146" s="104"/>
      <c r="D146" s="49"/>
      <c r="E146" s="49"/>
      <c r="F146" s="49"/>
      <c r="G146" s="49"/>
      <c r="H146" s="49"/>
    </row>
    <row r="147" spans="1:8" ht="26.25">
      <c r="A147" s="49" t="s">
        <v>171</v>
      </c>
      <c r="B147" s="49"/>
      <c r="C147" s="104"/>
      <c r="D147" s="49"/>
      <c r="E147" s="49"/>
      <c r="F147" s="49"/>
      <c r="G147" s="49"/>
      <c r="H147" s="49"/>
    </row>
    <row r="148" spans="1:8" ht="26.25">
      <c r="A148" s="57" t="s">
        <v>172</v>
      </c>
      <c r="B148" s="49"/>
      <c r="C148" s="104"/>
      <c r="D148" s="49"/>
      <c r="E148" s="49"/>
      <c r="F148" s="49"/>
      <c r="G148" s="49"/>
      <c r="H148" s="49"/>
    </row>
    <row r="149" spans="1:8" ht="23.25">
      <c r="A149" s="107" t="s">
        <v>173</v>
      </c>
      <c r="B149" s="108"/>
      <c r="C149" s="109"/>
      <c r="D149" s="108"/>
      <c r="E149" s="108"/>
      <c r="F149" s="108"/>
      <c r="G149" s="108"/>
      <c r="H149" s="108"/>
    </row>
    <row r="150" spans="1:8" ht="22.5">
      <c r="A150" s="134" t="s">
        <v>35</v>
      </c>
      <c r="B150" s="134" t="s">
        <v>133</v>
      </c>
      <c r="C150" s="135"/>
      <c r="D150" s="134"/>
      <c r="E150" s="134"/>
      <c r="F150" s="134" t="s">
        <v>134</v>
      </c>
      <c r="G150" s="134"/>
      <c r="H150" s="134" t="s">
        <v>135</v>
      </c>
    </row>
    <row r="151" spans="1:8" ht="22.5">
      <c r="A151" s="136" t="s">
        <v>168</v>
      </c>
      <c r="B151" s="134">
        <v>902</v>
      </c>
      <c r="C151" s="135"/>
      <c r="D151" s="134"/>
      <c r="E151" s="134"/>
      <c r="F151" s="137">
        <v>0</v>
      </c>
      <c r="G151" s="137"/>
      <c r="H151" s="138">
        <v>21877.74</v>
      </c>
    </row>
    <row r="152" spans="1:8" ht="22.5">
      <c r="A152" s="136" t="s">
        <v>169</v>
      </c>
      <c r="B152" s="134">
        <v>903</v>
      </c>
      <c r="C152" s="135"/>
      <c r="D152" s="134"/>
      <c r="E152" s="134"/>
      <c r="F152" s="137">
        <v>0</v>
      </c>
      <c r="G152" s="137"/>
      <c r="H152" s="138">
        <v>5000</v>
      </c>
    </row>
    <row r="153" spans="1:8" ht="22.5">
      <c r="A153" s="136" t="s">
        <v>174</v>
      </c>
      <c r="B153" s="134">
        <v>908</v>
      </c>
      <c r="C153" s="135"/>
      <c r="D153" s="134"/>
      <c r="E153" s="134"/>
      <c r="F153" s="137">
        <v>0</v>
      </c>
      <c r="G153" s="137"/>
      <c r="H153" s="138">
        <v>115000</v>
      </c>
    </row>
    <row r="154" spans="1:8" ht="22.5">
      <c r="A154" s="136" t="s">
        <v>175</v>
      </c>
      <c r="B154" s="134">
        <v>906</v>
      </c>
      <c r="C154" s="135"/>
      <c r="D154" s="134"/>
      <c r="E154" s="134"/>
      <c r="F154" s="137">
        <v>0</v>
      </c>
      <c r="G154" s="137"/>
      <c r="H154" s="137">
        <v>0</v>
      </c>
    </row>
    <row r="155" spans="1:8" ht="22.5">
      <c r="A155" s="136" t="s">
        <v>176</v>
      </c>
      <c r="B155" s="134">
        <v>907</v>
      </c>
      <c r="C155" s="135"/>
      <c r="D155" s="134"/>
      <c r="E155" s="134"/>
      <c r="F155" s="137">
        <v>0</v>
      </c>
      <c r="G155" s="137"/>
      <c r="H155" s="137">
        <v>0</v>
      </c>
    </row>
    <row r="156" spans="1:8" ht="22.5">
      <c r="A156" s="136" t="s">
        <v>177</v>
      </c>
      <c r="B156" s="134">
        <v>908</v>
      </c>
      <c r="C156" s="135"/>
      <c r="D156" s="134"/>
      <c r="E156" s="134"/>
      <c r="F156" s="137">
        <v>0</v>
      </c>
      <c r="G156" s="137"/>
      <c r="H156" s="137">
        <v>0</v>
      </c>
    </row>
    <row r="157" spans="1:8" ht="24" thickBot="1">
      <c r="A157" s="47" t="s">
        <v>0</v>
      </c>
      <c r="B157" s="47"/>
      <c r="C157" s="102"/>
      <c r="D157" s="47"/>
      <c r="E157" s="47"/>
      <c r="F157" s="139">
        <v>0</v>
      </c>
      <c r="G157" s="139"/>
      <c r="H157" s="140">
        <f>SUM(H151:H156)</f>
        <v>141877.74</v>
      </c>
    </row>
    <row r="158" ht="21" thickTop="1"/>
    <row r="178" spans="1:8" ht="26.25">
      <c r="A178" s="49" t="s">
        <v>170</v>
      </c>
      <c r="B178" s="49"/>
      <c r="C178" s="104"/>
      <c r="D178" s="49"/>
      <c r="E178" s="49"/>
      <c r="F178" s="49"/>
      <c r="G178" s="49"/>
      <c r="H178" s="49"/>
    </row>
    <row r="179" spans="1:8" ht="26.25">
      <c r="A179" s="49" t="s">
        <v>171</v>
      </c>
      <c r="B179" s="49"/>
      <c r="C179" s="104"/>
      <c r="D179" s="49"/>
      <c r="E179" s="49"/>
      <c r="F179" s="49"/>
      <c r="G179" s="49"/>
      <c r="H179" s="49"/>
    </row>
    <row r="180" spans="1:8" ht="26.25">
      <c r="A180" s="57" t="s">
        <v>178</v>
      </c>
      <c r="B180" s="49"/>
      <c r="C180" s="104"/>
      <c r="D180" s="49"/>
      <c r="E180" s="49"/>
      <c r="F180" s="49"/>
      <c r="G180" s="49"/>
      <c r="H180" s="49"/>
    </row>
    <row r="181" spans="1:8" ht="23.25">
      <c r="A181" s="107" t="s">
        <v>173</v>
      </c>
      <c r="B181" s="108"/>
      <c r="C181" s="109"/>
      <c r="D181" s="108"/>
      <c r="E181" s="108"/>
      <c r="F181" s="108"/>
      <c r="G181" s="108"/>
      <c r="H181" s="108"/>
    </row>
    <row r="182" spans="1:8" ht="22.5">
      <c r="A182" s="134" t="s">
        <v>35</v>
      </c>
      <c r="B182" s="134" t="s">
        <v>133</v>
      </c>
      <c r="C182" s="135"/>
      <c r="D182" s="134"/>
      <c r="E182" s="134"/>
      <c r="F182" s="134" t="s">
        <v>134</v>
      </c>
      <c r="G182" s="134"/>
      <c r="H182" s="134" t="s">
        <v>135</v>
      </c>
    </row>
    <row r="183" spans="1:8" ht="22.5">
      <c r="A183" s="136" t="s">
        <v>168</v>
      </c>
      <c r="B183" s="134">
        <v>902</v>
      </c>
      <c r="C183" s="135"/>
      <c r="D183" s="134"/>
      <c r="E183" s="134"/>
      <c r="F183" s="138">
        <v>12006.03</v>
      </c>
      <c r="G183" s="138"/>
      <c r="H183" s="138">
        <v>33883.77</v>
      </c>
    </row>
    <row r="184" spans="1:8" ht="22.5">
      <c r="A184" s="136" t="s">
        <v>169</v>
      </c>
      <c r="B184" s="134">
        <v>903</v>
      </c>
      <c r="C184" s="135"/>
      <c r="D184" s="134"/>
      <c r="E184" s="134"/>
      <c r="F184" s="137">
        <v>0</v>
      </c>
      <c r="G184" s="137"/>
      <c r="H184" s="138">
        <v>5000</v>
      </c>
    </row>
    <row r="185" spans="1:8" ht="22.5">
      <c r="A185" s="136" t="s">
        <v>174</v>
      </c>
      <c r="B185" s="134">
        <v>908</v>
      </c>
      <c r="C185" s="135"/>
      <c r="D185" s="134"/>
      <c r="E185" s="134"/>
      <c r="F185" s="137">
        <v>0</v>
      </c>
      <c r="G185" s="137"/>
      <c r="H185" s="138">
        <v>115000</v>
      </c>
    </row>
    <row r="186" spans="1:8" ht="22.5">
      <c r="A186" s="136" t="s">
        <v>175</v>
      </c>
      <c r="B186" s="134">
        <v>906</v>
      </c>
      <c r="C186" s="135"/>
      <c r="D186" s="134"/>
      <c r="E186" s="134"/>
      <c r="F186" s="137">
        <v>0</v>
      </c>
      <c r="G186" s="137"/>
      <c r="H186" s="137">
        <v>0</v>
      </c>
    </row>
    <row r="187" spans="1:8" ht="22.5">
      <c r="A187" s="136" t="s">
        <v>176</v>
      </c>
      <c r="B187" s="134">
        <v>907</v>
      </c>
      <c r="C187" s="135"/>
      <c r="D187" s="134"/>
      <c r="E187" s="134"/>
      <c r="F187" s="137">
        <v>0</v>
      </c>
      <c r="G187" s="137"/>
      <c r="H187" s="137">
        <v>0</v>
      </c>
    </row>
    <row r="188" spans="1:8" ht="22.5">
      <c r="A188" s="136" t="s">
        <v>177</v>
      </c>
      <c r="B188" s="134">
        <v>908</v>
      </c>
      <c r="C188" s="135"/>
      <c r="D188" s="134"/>
      <c r="E188" s="134"/>
      <c r="F188" s="137">
        <v>0</v>
      </c>
      <c r="G188" s="137"/>
      <c r="H188" s="137">
        <v>0</v>
      </c>
    </row>
    <row r="189" spans="1:8" ht="24" thickBot="1">
      <c r="A189" s="47" t="s">
        <v>0</v>
      </c>
      <c r="B189" s="47"/>
      <c r="C189" s="102"/>
      <c r="D189" s="47"/>
      <c r="E189" s="47"/>
      <c r="F189" s="141">
        <v>12006.03</v>
      </c>
      <c r="G189" s="141"/>
      <c r="H189" s="140">
        <f>SUM(H183:H188)</f>
        <v>153883.77</v>
      </c>
    </row>
    <row r="190" spans="6:7" ht="21" thickTop="1">
      <c r="F190" s="58"/>
      <c r="G190" s="58"/>
    </row>
    <row r="209" spans="1:8" ht="26.25">
      <c r="A209" s="49" t="s">
        <v>170</v>
      </c>
      <c r="B209" s="49"/>
      <c r="C209" s="104"/>
      <c r="D209" s="49"/>
      <c r="E209" s="49"/>
      <c r="F209" s="49"/>
      <c r="G209" s="49"/>
      <c r="H209" s="49"/>
    </row>
    <row r="210" spans="1:8" ht="26.25">
      <c r="A210" s="49" t="s">
        <v>171</v>
      </c>
      <c r="B210" s="49"/>
      <c r="C210" s="104"/>
      <c r="D210" s="49"/>
      <c r="E210" s="49"/>
      <c r="F210" s="49"/>
      <c r="G210" s="49"/>
      <c r="H210" s="49"/>
    </row>
    <row r="211" spans="1:8" ht="26.25">
      <c r="A211" s="57" t="s">
        <v>179</v>
      </c>
      <c r="B211" s="49"/>
      <c r="C211" s="104"/>
      <c r="D211" s="49"/>
      <c r="E211" s="49"/>
      <c r="F211" s="49"/>
      <c r="G211" s="49"/>
      <c r="H211" s="49"/>
    </row>
    <row r="212" spans="1:8" ht="23.25">
      <c r="A212" s="107" t="s">
        <v>173</v>
      </c>
      <c r="B212" s="108"/>
      <c r="C212" s="109"/>
      <c r="D212" s="108"/>
      <c r="E212" s="108"/>
      <c r="F212" s="108"/>
      <c r="G212" s="108"/>
      <c r="H212" s="108"/>
    </row>
    <row r="213" spans="1:8" ht="22.5">
      <c r="A213" s="134" t="s">
        <v>35</v>
      </c>
      <c r="B213" s="134" t="s">
        <v>133</v>
      </c>
      <c r="C213" s="135"/>
      <c r="D213" s="134"/>
      <c r="E213" s="134"/>
      <c r="F213" s="134" t="s">
        <v>134</v>
      </c>
      <c r="G213" s="134"/>
      <c r="H213" s="134" t="s">
        <v>135</v>
      </c>
    </row>
    <row r="214" spans="1:8" ht="22.5">
      <c r="A214" s="136" t="s">
        <v>168</v>
      </c>
      <c r="B214" s="134">
        <v>902</v>
      </c>
      <c r="C214" s="135"/>
      <c r="D214" s="134"/>
      <c r="E214" s="134"/>
      <c r="F214" s="138">
        <v>11306.56</v>
      </c>
      <c r="G214" s="138"/>
      <c r="H214" s="138">
        <v>45190.33</v>
      </c>
    </row>
    <row r="215" spans="1:8" ht="22.5">
      <c r="A215" s="136" t="s">
        <v>169</v>
      </c>
      <c r="B215" s="134">
        <v>903</v>
      </c>
      <c r="C215" s="135"/>
      <c r="D215" s="134"/>
      <c r="E215" s="134"/>
      <c r="F215" s="137">
        <v>0</v>
      </c>
      <c r="G215" s="137"/>
      <c r="H215" s="138">
        <v>5000</v>
      </c>
    </row>
    <row r="216" spans="1:8" ht="22.5">
      <c r="A216" s="136" t="s">
        <v>174</v>
      </c>
      <c r="B216" s="134">
        <v>908</v>
      </c>
      <c r="C216" s="135"/>
      <c r="D216" s="134"/>
      <c r="E216" s="134"/>
      <c r="F216" s="137">
        <v>0</v>
      </c>
      <c r="G216" s="137"/>
      <c r="H216" s="138">
        <v>115000</v>
      </c>
    </row>
    <row r="217" spans="1:8" ht="22.5">
      <c r="A217" s="136" t="s">
        <v>175</v>
      </c>
      <c r="B217" s="134">
        <v>906</v>
      </c>
      <c r="C217" s="135"/>
      <c r="D217" s="134"/>
      <c r="E217" s="134"/>
      <c r="F217" s="137">
        <v>0</v>
      </c>
      <c r="G217" s="137"/>
      <c r="H217" s="137">
        <v>0</v>
      </c>
    </row>
    <row r="218" spans="1:8" ht="22.5">
      <c r="A218" s="136" t="s">
        <v>176</v>
      </c>
      <c r="B218" s="134">
        <v>907</v>
      </c>
      <c r="C218" s="135"/>
      <c r="D218" s="134"/>
      <c r="E218" s="134"/>
      <c r="F218" s="137">
        <v>0</v>
      </c>
      <c r="G218" s="137"/>
      <c r="H218" s="137">
        <v>0</v>
      </c>
    </row>
    <row r="219" spans="1:8" ht="22.5">
      <c r="A219" s="136" t="s">
        <v>177</v>
      </c>
      <c r="B219" s="134">
        <v>908</v>
      </c>
      <c r="C219" s="135"/>
      <c r="D219" s="134"/>
      <c r="E219" s="134"/>
      <c r="F219" s="137">
        <v>0</v>
      </c>
      <c r="G219" s="137"/>
      <c r="H219" s="137">
        <v>0</v>
      </c>
    </row>
    <row r="220" spans="1:8" ht="24" thickBot="1">
      <c r="A220" s="47" t="s">
        <v>0</v>
      </c>
      <c r="B220" s="47"/>
      <c r="C220" s="102"/>
      <c r="D220" s="47"/>
      <c r="E220" s="47"/>
      <c r="F220" s="140">
        <f>SUM(F214:F219)</f>
        <v>11306.56</v>
      </c>
      <c r="G220" s="140"/>
      <c r="H220" s="140">
        <f>SUM(H214:H219)</f>
        <v>165190.33000000002</v>
      </c>
    </row>
    <row r="221" ht="21" thickTop="1"/>
    <row r="240" spans="1:8" ht="26.25">
      <c r="A240" s="49" t="s">
        <v>170</v>
      </c>
      <c r="B240" s="49"/>
      <c r="C240" s="104"/>
      <c r="D240" s="49"/>
      <c r="E240" s="49"/>
      <c r="F240" s="49"/>
      <c r="G240" s="49"/>
      <c r="H240" s="49"/>
    </row>
    <row r="241" spans="1:8" ht="26.25">
      <c r="A241" s="49" t="s">
        <v>171</v>
      </c>
      <c r="B241" s="49"/>
      <c r="C241" s="104"/>
      <c r="D241" s="49"/>
      <c r="E241" s="49"/>
      <c r="F241" s="49"/>
      <c r="G241" s="49"/>
      <c r="H241" s="49"/>
    </row>
    <row r="242" spans="1:8" ht="26.25">
      <c r="A242" s="57" t="s">
        <v>180</v>
      </c>
      <c r="B242" s="49"/>
      <c r="C242" s="104"/>
      <c r="D242" s="49"/>
      <c r="E242" s="49"/>
      <c r="F242" s="49"/>
      <c r="G242" s="49"/>
      <c r="H242" s="49"/>
    </row>
    <row r="243" spans="1:8" ht="23.25">
      <c r="A243" s="107" t="s">
        <v>173</v>
      </c>
      <c r="B243" s="108"/>
      <c r="C243" s="109"/>
      <c r="D243" s="108"/>
      <c r="E243" s="108"/>
      <c r="F243" s="108"/>
      <c r="G243" s="108"/>
      <c r="H243" s="108"/>
    </row>
    <row r="244" spans="1:8" ht="22.5">
      <c r="A244" s="134" t="s">
        <v>35</v>
      </c>
      <c r="B244" s="134" t="s">
        <v>133</v>
      </c>
      <c r="C244" s="135"/>
      <c r="D244" s="134"/>
      <c r="E244" s="134"/>
      <c r="F244" s="134" t="s">
        <v>134</v>
      </c>
      <c r="G244" s="134"/>
      <c r="H244" s="134" t="s">
        <v>135</v>
      </c>
    </row>
    <row r="245" spans="1:8" ht="22.5">
      <c r="A245" s="136" t="s">
        <v>168</v>
      </c>
      <c r="B245" s="134">
        <v>902</v>
      </c>
      <c r="C245" s="135"/>
      <c r="D245" s="134"/>
      <c r="E245" s="134"/>
      <c r="F245" s="138">
        <v>9685.05</v>
      </c>
      <c r="G245" s="138"/>
      <c r="H245" s="138">
        <v>54875.38</v>
      </c>
    </row>
    <row r="246" spans="1:8" ht="22.5">
      <c r="A246" s="136" t="s">
        <v>169</v>
      </c>
      <c r="B246" s="134">
        <v>903</v>
      </c>
      <c r="C246" s="135"/>
      <c r="D246" s="134"/>
      <c r="E246" s="134"/>
      <c r="F246" s="137">
        <v>0</v>
      </c>
      <c r="G246" s="137"/>
      <c r="H246" s="138">
        <v>5000</v>
      </c>
    </row>
    <row r="247" spans="1:8" ht="22.5">
      <c r="A247" s="136" t="s">
        <v>174</v>
      </c>
      <c r="B247" s="134">
        <v>908</v>
      </c>
      <c r="C247" s="135"/>
      <c r="D247" s="134"/>
      <c r="E247" s="134"/>
      <c r="F247" s="137">
        <v>0</v>
      </c>
      <c r="G247" s="137"/>
      <c r="H247" s="138">
        <v>115000</v>
      </c>
    </row>
    <row r="248" spans="1:8" ht="22.5">
      <c r="A248" s="136" t="s">
        <v>175</v>
      </c>
      <c r="B248" s="134">
        <v>906</v>
      </c>
      <c r="C248" s="135"/>
      <c r="D248" s="134"/>
      <c r="E248" s="134"/>
      <c r="F248" s="137">
        <v>0</v>
      </c>
      <c r="G248" s="137"/>
      <c r="H248" s="137">
        <v>0</v>
      </c>
    </row>
    <row r="249" spans="1:8" ht="22.5">
      <c r="A249" s="136" t="s">
        <v>176</v>
      </c>
      <c r="B249" s="134">
        <v>907</v>
      </c>
      <c r="C249" s="135"/>
      <c r="D249" s="134"/>
      <c r="E249" s="134"/>
      <c r="F249" s="137">
        <v>0</v>
      </c>
      <c r="G249" s="137"/>
      <c r="H249" s="137">
        <v>0</v>
      </c>
    </row>
    <row r="250" spans="1:8" ht="22.5">
      <c r="A250" s="136" t="s">
        <v>177</v>
      </c>
      <c r="B250" s="134">
        <v>908</v>
      </c>
      <c r="C250" s="135"/>
      <c r="D250" s="134"/>
      <c r="E250" s="134"/>
      <c r="F250" s="137">
        <v>0</v>
      </c>
      <c r="G250" s="137"/>
      <c r="H250" s="137">
        <v>0</v>
      </c>
    </row>
    <row r="251" spans="1:8" ht="24" thickBot="1">
      <c r="A251" s="47" t="s">
        <v>0</v>
      </c>
      <c r="B251" s="47"/>
      <c r="C251" s="102"/>
      <c r="D251" s="47"/>
      <c r="E251" s="47"/>
      <c r="F251" s="140">
        <f>SUM(F245:F250)</f>
        <v>9685.05</v>
      </c>
      <c r="G251" s="140"/>
      <c r="H251" s="140">
        <f>SUM(H245:H250)</f>
        <v>174875.38</v>
      </c>
    </row>
    <row r="252" ht="21" thickTop="1"/>
    <row r="275" spans="1:8" ht="26.25">
      <c r="A275" s="49" t="s">
        <v>170</v>
      </c>
      <c r="B275" s="49"/>
      <c r="C275" s="104"/>
      <c r="D275" s="49"/>
      <c r="E275" s="49"/>
      <c r="F275" s="49"/>
      <c r="G275" s="49"/>
      <c r="H275" s="49"/>
    </row>
    <row r="276" spans="1:8" ht="26.25">
      <c r="A276" s="49" t="s">
        <v>171</v>
      </c>
      <c r="B276" s="49"/>
      <c r="C276" s="104"/>
      <c r="D276" s="49"/>
      <c r="E276" s="49"/>
      <c r="F276" s="49"/>
      <c r="G276" s="49"/>
      <c r="H276" s="49"/>
    </row>
    <row r="277" spans="1:8" ht="26.25">
      <c r="A277" s="57" t="s">
        <v>181</v>
      </c>
      <c r="B277" s="49"/>
      <c r="C277" s="104"/>
      <c r="D277" s="49"/>
      <c r="E277" s="49"/>
      <c r="F277" s="49"/>
      <c r="G277" s="49"/>
      <c r="H277" s="49"/>
    </row>
    <row r="278" spans="1:8" ht="23.25">
      <c r="A278" s="107" t="s">
        <v>173</v>
      </c>
      <c r="B278" s="108"/>
      <c r="C278" s="109"/>
      <c r="D278" s="108"/>
      <c r="E278" s="108"/>
      <c r="F278" s="108"/>
      <c r="G278" s="108"/>
      <c r="H278" s="108"/>
    </row>
    <row r="279" spans="1:8" ht="22.5">
      <c r="A279" s="134" t="s">
        <v>35</v>
      </c>
      <c r="B279" s="134" t="s">
        <v>133</v>
      </c>
      <c r="C279" s="135"/>
      <c r="D279" s="134"/>
      <c r="E279" s="134"/>
      <c r="F279" s="134" t="s">
        <v>134</v>
      </c>
      <c r="G279" s="134"/>
      <c r="H279" s="134" t="s">
        <v>135</v>
      </c>
    </row>
    <row r="280" spans="1:8" ht="22.5">
      <c r="A280" s="136" t="s">
        <v>168</v>
      </c>
      <c r="B280" s="134">
        <v>902</v>
      </c>
      <c r="C280" s="135"/>
      <c r="D280" s="134"/>
      <c r="E280" s="134"/>
      <c r="F280" s="138">
        <v>5861.35</v>
      </c>
      <c r="G280" s="138"/>
      <c r="H280" s="138">
        <v>60736.73</v>
      </c>
    </row>
    <row r="281" spans="1:8" ht="22.5">
      <c r="A281" s="136" t="s">
        <v>169</v>
      </c>
      <c r="B281" s="134">
        <v>903</v>
      </c>
      <c r="C281" s="135"/>
      <c r="D281" s="134"/>
      <c r="E281" s="134"/>
      <c r="F281" s="137">
        <v>0</v>
      </c>
      <c r="G281" s="137"/>
      <c r="H281" s="138">
        <v>5000</v>
      </c>
    </row>
    <row r="282" spans="1:8" ht="22.5">
      <c r="A282" s="136" t="s">
        <v>174</v>
      </c>
      <c r="B282" s="134">
        <v>908</v>
      </c>
      <c r="C282" s="135"/>
      <c r="D282" s="134"/>
      <c r="E282" s="134"/>
      <c r="F282" s="137">
        <v>0</v>
      </c>
      <c r="G282" s="137"/>
      <c r="H282" s="138">
        <v>115000</v>
      </c>
    </row>
    <row r="283" spans="1:8" ht="22.5">
      <c r="A283" s="136" t="s">
        <v>175</v>
      </c>
      <c r="B283" s="134">
        <v>906</v>
      </c>
      <c r="C283" s="135"/>
      <c r="D283" s="134"/>
      <c r="E283" s="134"/>
      <c r="F283" s="137">
        <v>0</v>
      </c>
      <c r="G283" s="137"/>
      <c r="H283" s="137">
        <v>0</v>
      </c>
    </row>
    <row r="284" spans="1:8" ht="22.5">
      <c r="A284" s="136" t="s">
        <v>176</v>
      </c>
      <c r="B284" s="134">
        <v>907</v>
      </c>
      <c r="C284" s="135"/>
      <c r="D284" s="134"/>
      <c r="E284" s="134"/>
      <c r="F284" s="137">
        <v>0</v>
      </c>
      <c r="G284" s="137"/>
      <c r="H284" s="137">
        <v>0</v>
      </c>
    </row>
    <row r="285" spans="1:8" ht="22.5">
      <c r="A285" s="136" t="s">
        <v>177</v>
      </c>
      <c r="B285" s="134">
        <v>908</v>
      </c>
      <c r="C285" s="135"/>
      <c r="D285" s="134"/>
      <c r="E285" s="134"/>
      <c r="F285" s="137">
        <v>0</v>
      </c>
      <c r="G285" s="137"/>
      <c r="H285" s="137">
        <v>0</v>
      </c>
    </row>
    <row r="286" spans="1:8" ht="24" thickBot="1">
      <c r="A286" s="47" t="s">
        <v>0</v>
      </c>
      <c r="B286" s="47"/>
      <c r="C286" s="102"/>
      <c r="D286" s="47"/>
      <c r="E286" s="47"/>
      <c r="F286" s="140">
        <f>SUM(F280:F285)</f>
        <v>5861.35</v>
      </c>
      <c r="G286" s="140"/>
      <c r="H286" s="140">
        <f>SUM(H280:H285)</f>
        <v>180736.73</v>
      </c>
    </row>
    <row r="287" ht="21" thickTop="1"/>
    <row r="307" spans="1:8" ht="26.25">
      <c r="A307" s="49" t="s">
        <v>170</v>
      </c>
      <c r="B307" s="49"/>
      <c r="C307" s="104"/>
      <c r="D307" s="49"/>
      <c r="E307" s="49"/>
      <c r="F307" s="49"/>
      <c r="G307" s="49"/>
      <c r="H307" s="49"/>
    </row>
    <row r="308" spans="1:8" ht="26.25">
      <c r="A308" s="49" t="s">
        <v>171</v>
      </c>
      <c r="B308" s="49"/>
      <c r="C308" s="104"/>
      <c r="D308" s="49"/>
      <c r="E308" s="49"/>
      <c r="F308" s="49"/>
      <c r="G308" s="49"/>
      <c r="H308" s="49"/>
    </row>
    <row r="309" spans="1:8" ht="26.25">
      <c r="A309" s="57" t="s">
        <v>182</v>
      </c>
      <c r="B309" s="49"/>
      <c r="C309" s="104"/>
      <c r="D309" s="49"/>
      <c r="E309" s="49"/>
      <c r="F309" s="49"/>
      <c r="G309" s="49"/>
      <c r="H309" s="49"/>
    </row>
    <row r="310" spans="1:8" ht="23.25">
      <c r="A310" s="107" t="s">
        <v>173</v>
      </c>
      <c r="B310" s="108"/>
      <c r="C310" s="109"/>
      <c r="D310" s="108"/>
      <c r="E310" s="108"/>
      <c r="F310" s="108"/>
      <c r="G310" s="108"/>
      <c r="H310" s="108"/>
    </row>
    <row r="311" spans="1:8" ht="22.5">
      <c r="A311" s="134" t="s">
        <v>35</v>
      </c>
      <c r="B311" s="134" t="s">
        <v>133</v>
      </c>
      <c r="C311" s="135"/>
      <c r="D311" s="134"/>
      <c r="E311" s="134"/>
      <c r="F311" s="134" t="s">
        <v>134</v>
      </c>
      <c r="G311" s="134"/>
      <c r="H311" s="134" t="s">
        <v>135</v>
      </c>
    </row>
    <row r="312" spans="1:8" ht="22.5">
      <c r="A312" s="136" t="s">
        <v>168</v>
      </c>
      <c r="B312" s="134">
        <v>902</v>
      </c>
      <c r="C312" s="135"/>
      <c r="D312" s="134"/>
      <c r="E312" s="134"/>
      <c r="F312" s="138">
        <v>134.01</v>
      </c>
      <c r="G312" s="138"/>
      <c r="H312" s="138"/>
    </row>
    <row r="313" spans="1:8" ht="22.5">
      <c r="A313" s="136" t="s">
        <v>169</v>
      </c>
      <c r="B313" s="134">
        <v>903</v>
      </c>
      <c r="C313" s="135"/>
      <c r="D313" s="134"/>
      <c r="E313" s="134"/>
      <c r="F313" s="137">
        <v>0</v>
      </c>
      <c r="G313" s="137"/>
      <c r="H313" s="138"/>
    </row>
    <row r="314" spans="1:8" ht="22.5">
      <c r="A314" s="136" t="s">
        <v>183</v>
      </c>
      <c r="B314" s="134">
        <v>904</v>
      </c>
      <c r="C314" s="135"/>
      <c r="D314" s="134"/>
      <c r="E314" s="134"/>
      <c r="F314" s="137">
        <v>0</v>
      </c>
      <c r="G314" s="137"/>
      <c r="H314" s="138"/>
    </row>
    <row r="315" spans="1:8" ht="22.5">
      <c r="A315" s="136" t="s">
        <v>174</v>
      </c>
      <c r="B315" s="134">
        <v>908</v>
      </c>
      <c r="C315" s="135"/>
      <c r="D315" s="134"/>
      <c r="E315" s="134"/>
      <c r="F315" s="137">
        <v>0</v>
      </c>
      <c r="G315" s="137"/>
      <c r="H315" s="138"/>
    </row>
    <row r="316" spans="1:8" ht="22.5">
      <c r="A316" s="136" t="s">
        <v>175</v>
      </c>
      <c r="B316" s="134">
        <v>906</v>
      </c>
      <c r="C316" s="135"/>
      <c r="D316" s="134"/>
      <c r="E316" s="134"/>
      <c r="F316" s="138">
        <v>15.25</v>
      </c>
      <c r="G316" s="138"/>
      <c r="H316" s="138"/>
    </row>
    <row r="317" spans="1:8" ht="22.5">
      <c r="A317" s="136" t="s">
        <v>176</v>
      </c>
      <c r="B317" s="134">
        <v>907</v>
      </c>
      <c r="C317" s="135"/>
      <c r="D317" s="134"/>
      <c r="E317" s="134"/>
      <c r="F317" s="137">
        <v>0</v>
      </c>
      <c r="G317" s="137"/>
      <c r="H317" s="137"/>
    </row>
    <row r="318" spans="1:8" ht="24" thickBot="1">
      <c r="A318" s="47" t="s">
        <v>0</v>
      </c>
      <c r="B318" s="47"/>
      <c r="C318" s="102"/>
      <c r="D318" s="47"/>
      <c r="E318" s="47"/>
      <c r="F318" s="140">
        <f>SUM(F312:F317)</f>
        <v>149.26</v>
      </c>
      <c r="G318" s="140"/>
      <c r="H318" s="140"/>
    </row>
    <row r="319" ht="21" thickTop="1"/>
  </sheetData>
  <sheetProtection/>
  <mergeCells count="3">
    <mergeCell ref="A4:H4"/>
    <mergeCell ref="K4:O4"/>
    <mergeCell ref="A27:H27"/>
  </mergeCells>
  <printOptions/>
  <pageMargins left="0.47" right="0.26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33">
      <selection activeCell="B40" sqref="B40:D42"/>
    </sheetView>
  </sheetViews>
  <sheetFormatPr defaultColWidth="9.140625" defaultRowHeight="21.75"/>
  <cols>
    <col min="1" max="1" width="0.9921875" style="3" customWidth="1"/>
    <col min="2" max="2" width="59.421875" style="7" customWidth="1"/>
    <col min="3" max="4" width="22.140625" style="3" customWidth="1"/>
    <col min="5" max="9" width="13.57421875" style="3" hidden="1" customWidth="1"/>
    <col min="10" max="10" width="13.7109375" style="3" hidden="1" customWidth="1"/>
    <col min="11" max="16384" width="9.140625" style="4" customWidth="1"/>
  </cols>
  <sheetData>
    <row r="1" spans="1:10" s="2" customFormat="1" ht="21" customHeight="1">
      <c r="A1" s="1"/>
      <c r="B1" s="816" t="s">
        <v>216</v>
      </c>
      <c r="C1" s="816"/>
      <c r="D1" s="816"/>
      <c r="E1" s="816"/>
      <c r="F1" s="816"/>
      <c r="G1" s="816"/>
      <c r="H1" s="816"/>
      <c r="I1" s="816"/>
      <c r="J1" s="816"/>
    </row>
    <row r="2" spans="1:10" s="2" customFormat="1" ht="21" customHeight="1">
      <c r="A2" s="1"/>
      <c r="B2" s="817" t="s">
        <v>75</v>
      </c>
      <c r="C2" s="817"/>
      <c r="D2" s="817"/>
      <c r="E2" s="817"/>
      <c r="F2" s="817"/>
      <c r="G2" s="817"/>
      <c r="H2" s="817"/>
      <c r="I2" s="817"/>
      <c r="J2" s="817"/>
    </row>
    <row r="3" spans="1:10" s="2" customFormat="1" ht="21" customHeight="1">
      <c r="A3" s="1"/>
      <c r="B3" s="818" t="s">
        <v>524</v>
      </c>
      <c r="C3" s="818"/>
      <c r="D3" s="818"/>
      <c r="E3" s="818"/>
      <c r="F3" s="818"/>
      <c r="G3" s="818"/>
      <c r="H3" s="818"/>
      <c r="I3" s="818"/>
      <c r="J3" s="818"/>
    </row>
    <row r="4" spans="1:10" s="2" customFormat="1" ht="6.75" customHeight="1" thickBot="1">
      <c r="A4" s="1"/>
      <c r="B4" s="441"/>
      <c r="C4" s="441"/>
      <c r="D4" s="441"/>
      <c r="E4" s="441"/>
      <c r="F4" s="441"/>
      <c r="G4" s="441"/>
      <c r="H4" s="441"/>
      <c r="I4" s="441"/>
      <c r="J4" s="441"/>
    </row>
    <row r="5" spans="1:10" s="2" customFormat="1" ht="27.75" customHeight="1" thickBot="1">
      <c r="A5" s="3"/>
      <c r="B5" s="442" t="s">
        <v>35</v>
      </c>
      <c r="C5" s="443" t="s">
        <v>50</v>
      </c>
      <c r="D5" s="444" t="s">
        <v>51</v>
      </c>
      <c r="E5" s="445" t="s">
        <v>50</v>
      </c>
      <c r="F5" s="446" t="s">
        <v>51</v>
      </c>
      <c r="G5" s="447" t="s">
        <v>50</v>
      </c>
      <c r="H5" s="446" t="s">
        <v>51</v>
      </c>
      <c r="I5" s="448" t="s">
        <v>50</v>
      </c>
      <c r="J5" s="449" t="s">
        <v>51</v>
      </c>
    </row>
    <row r="6" spans="2:10" ht="21" customHeight="1">
      <c r="B6" s="277" t="s">
        <v>259</v>
      </c>
      <c r="C6" s="450">
        <v>3921949.93</v>
      </c>
      <c r="D6" s="451"/>
      <c r="E6" s="452"/>
      <c r="F6" s="453"/>
      <c r="G6" s="454">
        <f aca="true" t="shared" si="0" ref="G6:G18">C6+E6-D6-F6</f>
        <v>3921949.93</v>
      </c>
      <c r="H6" s="451"/>
      <c r="I6" s="450">
        <f aca="true" t="shared" si="1" ref="I6:I18">G6</f>
        <v>3921949.93</v>
      </c>
      <c r="J6" s="451"/>
    </row>
    <row r="7" spans="2:10" ht="21" customHeight="1">
      <c r="B7" s="277" t="s">
        <v>526</v>
      </c>
      <c r="C7" s="450">
        <v>4630099.5</v>
      </c>
      <c r="D7" s="455"/>
      <c r="E7" s="454"/>
      <c r="F7" s="451"/>
      <c r="G7" s="454">
        <f t="shared" si="0"/>
        <v>4630099.5</v>
      </c>
      <c r="H7" s="451"/>
      <c r="I7" s="450">
        <f t="shared" si="1"/>
        <v>4630099.5</v>
      </c>
      <c r="J7" s="455"/>
    </row>
    <row r="8" spans="2:10" ht="21" customHeight="1">
      <c r="B8" s="277" t="s">
        <v>527</v>
      </c>
      <c r="C8" s="450">
        <v>166319.67</v>
      </c>
      <c r="D8" s="455"/>
      <c r="E8" s="454"/>
      <c r="F8" s="451"/>
      <c r="G8" s="454">
        <f t="shared" si="0"/>
        <v>166319.67</v>
      </c>
      <c r="H8" s="451"/>
      <c r="I8" s="450">
        <f t="shared" si="1"/>
        <v>166319.67</v>
      </c>
      <c r="J8" s="455"/>
    </row>
    <row r="9" spans="2:10" ht="21" customHeight="1">
      <c r="B9" s="277" t="s">
        <v>260</v>
      </c>
      <c r="C9" s="450">
        <v>2069436.15</v>
      </c>
      <c r="D9" s="455"/>
      <c r="E9" s="454"/>
      <c r="F9" s="451"/>
      <c r="G9" s="454">
        <f t="shared" si="0"/>
        <v>2069436.15</v>
      </c>
      <c r="H9" s="451"/>
      <c r="I9" s="450">
        <f t="shared" si="1"/>
        <v>2069436.15</v>
      </c>
      <c r="J9" s="455"/>
    </row>
    <row r="10" spans="2:10" ht="21" customHeight="1">
      <c r="B10" s="277" t="s">
        <v>261</v>
      </c>
      <c r="C10" s="450">
        <v>6050</v>
      </c>
      <c r="D10" s="455"/>
      <c r="E10" s="454"/>
      <c r="F10" s="451"/>
      <c r="G10" s="454">
        <f t="shared" si="0"/>
        <v>6050</v>
      </c>
      <c r="H10" s="451"/>
      <c r="I10" s="450">
        <f t="shared" si="1"/>
        <v>6050</v>
      </c>
      <c r="J10" s="455"/>
    </row>
    <row r="11" spans="2:10" ht="21" customHeight="1">
      <c r="B11" s="277" t="s">
        <v>80</v>
      </c>
      <c r="C11" s="450">
        <v>1417.77</v>
      </c>
      <c r="D11" s="455"/>
      <c r="E11" s="454"/>
      <c r="F11" s="451"/>
      <c r="G11" s="454">
        <f t="shared" si="0"/>
        <v>1417.77</v>
      </c>
      <c r="H11" s="451"/>
      <c r="I11" s="450">
        <f t="shared" si="1"/>
        <v>1417.77</v>
      </c>
      <c r="J11" s="455"/>
    </row>
    <row r="12" spans="2:10" ht="21" customHeight="1">
      <c r="B12" s="277" t="s">
        <v>344</v>
      </c>
      <c r="C12" s="450">
        <v>200</v>
      </c>
      <c r="D12" s="455"/>
      <c r="E12" s="454"/>
      <c r="F12" s="451"/>
      <c r="G12" s="454">
        <f t="shared" si="0"/>
        <v>200</v>
      </c>
      <c r="H12" s="451"/>
      <c r="I12" s="450">
        <f t="shared" si="1"/>
        <v>200</v>
      </c>
      <c r="J12" s="455"/>
    </row>
    <row r="13" spans="2:10" ht="21" customHeight="1">
      <c r="B13" s="277" t="s">
        <v>345</v>
      </c>
      <c r="C13" s="450">
        <v>500</v>
      </c>
      <c r="D13" s="455"/>
      <c r="E13" s="454"/>
      <c r="F13" s="451"/>
      <c r="G13" s="454">
        <f t="shared" si="0"/>
        <v>500</v>
      </c>
      <c r="H13" s="451"/>
      <c r="I13" s="450">
        <f t="shared" si="1"/>
        <v>500</v>
      </c>
      <c r="J13" s="455"/>
    </row>
    <row r="14" spans="2:10" ht="21" customHeight="1">
      <c r="B14" s="277" t="s">
        <v>549</v>
      </c>
      <c r="C14" s="450">
        <v>415</v>
      </c>
      <c r="D14" s="455"/>
      <c r="E14" s="454"/>
      <c r="F14" s="451"/>
      <c r="G14" s="454">
        <f t="shared" si="0"/>
        <v>415</v>
      </c>
      <c r="H14" s="451"/>
      <c r="I14" s="450">
        <f t="shared" si="1"/>
        <v>415</v>
      </c>
      <c r="J14" s="455"/>
    </row>
    <row r="15" spans="2:10" ht="21" customHeight="1">
      <c r="B15" s="277" t="s">
        <v>613</v>
      </c>
      <c r="C15" s="450">
        <v>15400</v>
      </c>
      <c r="D15" s="455"/>
      <c r="E15" s="454"/>
      <c r="F15" s="451"/>
      <c r="G15" s="454">
        <f t="shared" si="0"/>
        <v>15400</v>
      </c>
      <c r="H15" s="451"/>
      <c r="I15" s="450">
        <f t="shared" si="1"/>
        <v>15400</v>
      </c>
      <c r="J15" s="455"/>
    </row>
    <row r="16" spans="2:10" ht="21" customHeight="1">
      <c r="B16" s="277" t="s">
        <v>550</v>
      </c>
      <c r="C16" s="450">
        <v>163900</v>
      </c>
      <c r="D16" s="455"/>
      <c r="E16" s="454"/>
      <c r="F16" s="451"/>
      <c r="G16" s="454">
        <f t="shared" si="0"/>
        <v>163900</v>
      </c>
      <c r="H16" s="451"/>
      <c r="I16" s="450">
        <f t="shared" si="1"/>
        <v>163900</v>
      </c>
      <c r="J16" s="455"/>
    </row>
    <row r="17" spans="2:10" ht="21" customHeight="1">
      <c r="B17" s="277" t="s">
        <v>84</v>
      </c>
      <c r="C17" s="450">
        <v>2443156</v>
      </c>
      <c r="D17" s="455"/>
      <c r="E17" s="454"/>
      <c r="F17" s="451"/>
      <c r="G17" s="454">
        <f t="shared" si="0"/>
        <v>2443156</v>
      </c>
      <c r="H17" s="455">
        <f>D17+F17-C17-E17</f>
        <v>-2443156</v>
      </c>
      <c r="I17" s="450">
        <f t="shared" si="1"/>
        <v>2443156</v>
      </c>
      <c r="J17" s="455">
        <f>H17</f>
        <v>-2443156</v>
      </c>
    </row>
    <row r="18" spans="2:10" ht="21" customHeight="1">
      <c r="B18" s="277" t="s">
        <v>262</v>
      </c>
      <c r="C18" s="456">
        <v>1652504</v>
      </c>
      <c r="D18" s="455"/>
      <c r="E18" s="457"/>
      <c r="F18" s="455"/>
      <c r="G18" s="457">
        <f t="shared" si="0"/>
        <v>1652504</v>
      </c>
      <c r="H18" s="455">
        <f>D18+F18-C18-E18</f>
        <v>-1652504</v>
      </c>
      <c r="I18" s="456">
        <f t="shared" si="1"/>
        <v>1652504</v>
      </c>
      <c r="J18" s="455">
        <f>H18</f>
        <v>-1652504</v>
      </c>
    </row>
    <row r="19" spans="2:10" ht="21" customHeight="1">
      <c r="B19" s="277" t="s">
        <v>263</v>
      </c>
      <c r="C19" s="456">
        <v>2946544</v>
      </c>
      <c r="D19" s="455"/>
      <c r="E19" s="457"/>
      <c r="F19" s="455"/>
      <c r="G19" s="457"/>
      <c r="H19" s="455">
        <f>D19+F19-C19-E19</f>
        <v>-2946544</v>
      </c>
      <c r="I19" s="456"/>
      <c r="J19" s="455">
        <f>H19</f>
        <v>-2946544</v>
      </c>
    </row>
    <row r="20" spans="2:10" ht="21" customHeight="1">
      <c r="B20" s="277" t="s">
        <v>54</v>
      </c>
      <c r="C20" s="456">
        <v>301910.5</v>
      </c>
      <c r="D20" s="455"/>
      <c r="E20" s="457"/>
      <c r="F20" s="455"/>
      <c r="G20" s="457"/>
      <c r="H20" s="455">
        <f>D20+F20-C20-E20</f>
        <v>-301910.5</v>
      </c>
      <c r="I20" s="456"/>
      <c r="J20" s="455">
        <f>H20</f>
        <v>-301910.5</v>
      </c>
    </row>
    <row r="21" spans="2:10" ht="21" customHeight="1">
      <c r="B21" s="277" t="s">
        <v>55</v>
      </c>
      <c r="C21" s="450">
        <v>2365546.19</v>
      </c>
      <c r="D21" s="455"/>
      <c r="E21" s="457"/>
      <c r="F21" s="458"/>
      <c r="G21" s="454"/>
      <c r="H21" s="458"/>
      <c r="I21" s="456"/>
      <c r="J21" s="455"/>
    </row>
    <row r="22" spans="2:10" ht="21" customHeight="1">
      <c r="B22" s="277" t="s">
        <v>42</v>
      </c>
      <c r="C22" s="450">
        <v>642305.28</v>
      </c>
      <c r="D22" s="455"/>
      <c r="E22" s="457"/>
      <c r="F22" s="460">
        <v>3560346</v>
      </c>
      <c r="G22" s="454">
        <f>C22+E22-D22-F22</f>
        <v>-2918040.7199999997</v>
      </c>
      <c r="H22" s="460"/>
      <c r="I22" s="456">
        <f>G22</f>
        <v>-2918040.7199999997</v>
      </c>
      <c r="J22" s="455"/>
    </row>
    <row r="23" spans="2:10" ht="21" customHeight="1">
      <c r="B23" s="277" t="s">
        <v>56</v>
      </c>
      <c r="C23" s="450">
        <v>344464.72</v>
      </c>
      <c r="D23" s="455"/>
      <c r="E23" s="457"/>
      <c r="F23" s="460"/>
      <c r="G23" s="454"/>
      <c r="H23" s="460"/>
      <c r="I23" s="456"/>
      <c r="J23" s="455"/>
    </row>
    <row r="24" spans="2:10" ht="21" customHeight="1">
      <c r="B24" s="277" t="s">
        <v>57</v>
      </c>
      <c r="C24" s="450">
        <v>161000</v>
      </c>
      <c r="D24" s="455"/>
      <c r="E24" s="457"/>
      <c r="F24" s="460"/>
      <c r="G24" s="454"/>
      <c r="H24" s="460"/>
      <c r="I24" s="456"/>
      <c r="J24" s="455"/>
    </row>
    <row r="25" spans="2:10" ht="21" customHeight="1">
      <c r="B25" s="277" t="s">
        <v>43</v>
      </c>
      <c r="C25" s="450">
        <v>1426603.3</v>
      </c>
      <c r="D25" s="455"/>
      <c r="E25" s="457"/>
      <c r="F25" s="460"/>
      <c r="G25" s="454"/>
      <c r="H25" s="460"/>
      <c r="I25" s="456"/>
      <c r="J25" s="455"/>
    </row>
    <row r="26" spans="2:10" ht="21" customHeight="1">
      <c r="B26" s="277" t="s">
        <v>31</v>
      </c>
      <c r="C26" s="450">
        <v>5249855</v>
      </c>
      <c r="D26" s="455"/>
      <c r="E26" s="457"/>
      <c r="F26" s="460"/>
      <c r="G26" s="454"/>
      <c r="H26" s="460"/>
      <c r="I26" s="456"/>
      <c r="J26" s="455"/>
    </row>
    <row r="27" spans="2:10" ht="21" customHeight="1">
      <c r="B27" s="277" t="s">
        <v>18</v>
      </c>
      <c r="C27" s="450"/>
      <c r="D27" s="455">
        <v>3228300</v>
      </c>
      <c r="E27" s="457"/>
      <c r="F27" s="460">
        <v>4321733.45</v>
      </c>
      <c r="G27" s="454">
        <f aca="true" t="shared" si="2" ref="G27:G32">C27+E27-D27-F27</f>
        <v>-7550033.45</v>
      </c>
      <c r="H27" s="460"/>
      <c r="I27" s="456">
        <f aca="true" t="shared" si="3" ref="I27:I32">G27</f>
        <v>-7550033.45</v>
      </c>
      <c r="J27" s="455"/>
    </row>
    <row r="28" spans="2:10" ht="21" customHeight="1">
      <c r="B28" s="277" t="s">
        <v>264</v>
      </c>
      <c r="C28" s="450"/>
      <c r="D28" s="455">
        <v>0</v>
      </c>
      <c r="E28" s="457"/>
      <c r="F28" s="460"/>
      <c r="G28" s="454"/>
      <c r="H28" s="460"/>
      <c r="I28" s="456"/>
      <c r="J28" s="455"/>
    </row>
    <row r="29" spans="2:10" ht="21" customHeight="1">
      <c r="B29" s="277" t="s">
        <v>535</v>
      </c>
      <c r="C29" s="450"/>
      <c r="D29" s="455">
        <v>15400</v>
      </c>
      <c r="E29" s="457"/>
      <c r="F29" s="460"/>
      <c r="G29" s="454"/>
      <c r="H29" s="460"/>
      <c r="I29" s="456"/>
      <c r="J29" s="455"/>
    </row>
    <row r="30" spans="2:10" ht="21" customHeight="1">
      <c r="B30" s="277" t="s">
        <v>53</v>
      </c>
      <c r="C30" s="450"/>
      <c r="D30" s="455">
        <v>472346.91</v>
      </c>
      <c r="E30" s="457"/>
      <c r="F30" s="460">
        <v>403896</v>
      </c>
      <c r="G30" s="454">
        <f t="shared" si="2"/>
        <v>-876242.9099999999</v>
      </c>
      <c r="H30" s="460"/>
      <c r="I30" s="456">
        <f t="shared" si="3"/>
        <v>-876242.9099999999</v>
      </c>
      <c r="J30" s="455"/>
    </row>
    <row r="31" spans="2:10" ht="21" customHeight="1">
      <c r="B31" s="277" t="s">
        <v>33</v>
      </c>
      <c r="C31" s="450"/>
      <c r="D31" s="455">
        <v>1455176.6</v>
      </c>
      <c r="E31" s="457"/>
      <c r="F31" s="460">
        <v>5068200</v>
      </c>
      <c r="G31" s="454">
        <f t="shared" si="2"/>
        <v>-6523376.6</v>
      </c>
      <c r="H31" s="460"/>
      <c r="I31" s="456">
        <f t="shared" si="3"/>
        <v>-6523376.6</v>
      </c>
      <c r="J31" s="455"/>
    </row>
    <row r="32" spans="2:10" ht="21" customHeight="1">
      <c r="B32" s="277" t="s">
        <v>85</v>
      </c>
      <c r="C32" s="456"/>
      <c r="D32" s="455">
        <f>กระดาษทำการงบทดลอง!O46</f>
        <v>22502329.98</v>
      </c>
      <c r="E32" s="461"/>
      <c r="F32" s="459">
        <v>2581000</v>
      </c>
      <c r="G32" s="454">
        <f t="shared" si="2"/>
        <v>-25083329.98</v>
      </c>
      <c r="H32" s="459"/>
      <c r="I32" s="456">
        <f t="shared" si="3"/>
        <v>-25083329.98</v>
      </c>
      <c r="J32" s="458"/>
    </row>
    <row r="33" spans="2:10" ht="21" customHeight="1" thickBot="1">
      <c r="B33" s="277" t="s">
        <v>626</v>
      </c>
      <c r="C33" s="456"/>
      <c r="D33" s="455">
        <f>กระดาษทำการงบทดลอง!O48</f>
        <v>76989</v>
      </c>
      <c r="E33" s="605"/>
      <c r="F33" s="606"/>
      <c r="G33" s="607"/>
      <c r="H33" s="606"/>
      <c r="I33" s="607"/>
      <c r="J33" s="608"/>
    </row>
    <row r="34" spans="1:10" s="6" customFormat="1" ht="23.25" customHeight="1" thickBot="1">
      <c r="A34" s="5"/>
      <c r="B34" s="277" t="s">
        <v>86</v>
      </c>
      <c r="C34" s="462"/>
      <c r="D34" s="463">
        <f>กระดาษทำการงบทดลอง!O47</f>
        <v>428814.85</v>
      </c>
      <c r="E34" s="464">
        <f aca="true" t="shared" si="4" ref="E34:J34">SUM(E6:E32)</f>
        <v>0</v>
      </c>
      <c r="F34" s="465">
        <f t="shared" si="4"/>
        <v>15935175.45</v>
      </c>
      <c r="G34" s="466">
        <f t="shared" si="4"/>
        <v>-27879675.64</v>
      </c>
      <c r="H34" s="465">
        <f t="shared" si="4"/>
        <v>-7344114.5</v>
      </c>
      <c r="I34" s="467">
        <f t="shared" si="4"/>
        <v>-27879675.64</v>
      </c>
      <c r="J34" s="468">
        <f t="shared" si="4"/>
        <v>-7344114.5</v>
      </c>
    </row>
    <row r="35" spans="1:10" s="6" customFormat="1" ht="23.25" customHeight="1" thickBot="1">
      <c r="A35" s="5"/>
      <c r="B35" s="469" t="s">
        <v>612</v>
      </c>
      <c r="C35" s="470"/>
      <c r="D35" s="471">
        <f>กระดาษทำการงบทดลอง!O49</f>
        <v>330219.67000000004</v>
      </c>
      <c r="E35" s="472"/>
      <c r="F35" s="472"/>
      <c r="G35" s="472"/>
      <c r="H35" s="472"/>
      <c r="I35" s="472"/>
      <c r="J35" s="472"/>
    </row>
    <row r="36" spans="2:10" ht="24" thickBot="1">
      <c r="B36" s="473"/>
      <c r="C36" s="474">
        <f>SUM(C6:C34)</f>
        <v>28509577.01</v>
      </c>
      <c r="D36" s="475">
        <f>SUM(D27:D35)</f>
        <v>28509577.010000005</v>
      </c>
      <c r="E36" s="476"/>
      <c r="F36" s="476">
        <f>E34-F34</f>
        <v>-15935175.45</v>
      </c>
      <c r="G36" s="476"/>
      <c r="H36" s="476">
        <f>G34-H34</f>
        <v>-20535561.14</v>
      </c>
      <c r="I36" s="476"/>
      <c r="J36" s="476">
        <f>I34-J34</f>
        <v>-20535561.14</v>
      </c>
    </row>
    <row r="37" spans="2:10" ht="21.75" customHeight="1" hidden="1">
      <c r="B37" s="7" t="s">
        <v>73</v>
      </c>
      <c r="C37" s="9"/>
      <c r="D37" s="9"/>
      <c r="E37" s="9"/>
      <c r="F37" s="9"/>
      <c r="G37" s="9"/>
      <c r="H37" s="9"/>
      <c r="I37" s="9"/>
      <c r="J37" s="9"/>
    </row>
    <row r="38" spans="2:10" ht="21.75" customHeight="1" hidden="1">
      <c r="B38" s="10"/>
      <c r="C38" s="9"/>
      <c r="D38" s="9"/>
      <c r="E38" s="9"/>
      <c r="F38" s="9"/>
      <c r="G38" s="9"/>
      <c r="H38" s="9"/>
      <c r="I38" s="9"/>
      <c r="J38" s="9"/>
    </row>
    <row r="39" spans="1:10" s="750" customFormat="1" ht="21">
      <c r="A39" s="478"/>
      <c r="B39" s="765"/>
      <c r="C39" s="766"/>
      <c r="D39" s="766"/>
      <c r="E39" s="749"/>
      <c r="F39" s="749"/>
      <c r="G39" s="749"/>
      <c r="H39" s="749"/>
      <c r="I39" s="749"/>
      <c r="J39" s="749"/>
    </row>
    <row r="40" spans="1:10" s="750" customFormat="1" ht="21">
      <c r="A40" s="478"/>
      <c r="B40" s="765"/>
      <c r="C40" s="477"/>
      <c r="D40" s="477"/>
      <c r="E40" s="478"/>
      <c r="F40" s="478"/>
      <c r="G40" s="478"/>
      <c r="H40" s="478"/>
      <c r="I40" s="478"/>
      <c r="J40" s="478"/>
    </row>
    <row r="41" spans="1:10" s="750" customFormat="1" ht="21">
      <c r="A41" s="478"/>
      <c r="B41" s="765"/>
      <c r="C41" s="477"/>
      <c r="D41" s="477"/>
      <c r="E41" s="478"/>
      <c r="F41" s="478"/>
      <c r="G41" s="478"/>
      <c r="H41" s="478"/>
      <c r="I41" s="478"/>
      <c r="J41" s="478"/>
    </row>
    <row r="42" spans="1:10" s="750" customFormat="1" ht="21">
      <c r="A42" s="478"/>
      <c r="B42" s="765"/>
      <c r="C42" s="477"/>
      <c r="D42" s="477"/>
      <c r="E42" s="478"/>
      <c r="F42" s="478"/>
      <c r="G42" s="478"/>
      <c r="H42" s="478"/>
      <c r="I42" s="478"/>
      <c r="J42" s="478"/>
    </row>
    <row r="43" spans="1:10" s="750" customFormat="1" ht="21">
      <c r="A43" s="478"/>
      <c r="B43" s="765"/>
      <c r="C43" s="477"/>
      <c r="D43" s="477"/>
      <c r="E43" s="478"/>
      <c r="F43" s="478"/>
      <c r="G43" s="478"/>
      <c r="H43" s="478"/>
      <c r="I43" s="478"/>
      <c r="J43" s="478"/>
    </row>
    <row r="44" spans="1:10" s="750" customFormat="1" ht="21">
      <c r="A44" s="478"/>
      <c r="B44" s="765"/>
      <c r="C44" s="477"/>
      <c r="D44" s="477"/>
      <c r="E44" s="478"/>
      <c r="F44" s="478"/>
      <c r="G44" s="478"/>
      <c r="H44" s="478"/>
      <c r="I44" s="478"/>
      <c r="J44" s="478"/>
    </row>
    <row r="45" spans="1:10" s="750" customFormat="1" ht="21">
      <c r="A45" s="478"/>
      <c r="B45" s="765"/>
      <c r="C45" s="477"/>
      <c r="D45" s="477"/>
      <c r="E45" s="478"/>
      <c r="F45" s="478"/>
      <c r="G45" s="478"/>
      <c r="H45" s="478"/>
      <c r="I45" s="478"/>
      <c r="J45" s="478"/>
    </row>
    <row r="46" spans="2:4" ht="23.25">
      <c r="B46" s="760"/>
      <c r="C46" s="1"/>
      <c r="D46" s="1"/>
    </row>
    <row r="53" ht="23.25">
      <c r="D53" s="1"/>
    </row>
    <row r="54" ht="23.25">
      <c r="D54" s="11"/>
    </row>
    <row r="55" ht="23.25">
      <c r="D55" s="11"/>
    </row>
    <row r="56" ht="23.25">
      <c r="D56" s="11"/>
    </row>
    <row r="57" ht="23.25">
      <c r="D57" s="11"/>
    </row>
    <row r="58" ht="23.25">
      <c r="D58" s="11"/>
    </row>
    <row r="59" ht="23.25">
      <c r="D59" s="11"/>
    </row>
    <row r="60" ht="23.25">
      <c r="D60" s="11"/>
    </row>
    <row r="61" ht="23.25">
      <c r="D61" s="11"/>
    </row>
    <row r="62" ht="23.25">
      <c r="D62" s="11"/>
    </row>
    <row r="63" ht="23.25">
      <c r="D63" s="11"/>
    </row>
    <row r="64" ht="23.25">
      <c r="D64" s="11"/>
    </row>
    <row r="65" ht="23.25">
      <c r="D65" s="11"/>
    </row>
    <row r="66" ht="23.25">
      <c r="D66" s="11"/>
    </row>
    <row r="67" ht="23.25">
      <c r="D67" s="11"/>
    </row>
    <row r="68" ht="23.25">
      <c r="D68" s="11"/>
    </row>
    <row r="69" ht="23.25">
      <c r="D69" s="11"/>
    </row>
    <row r="70" ht="23.25">
      <c r="D70" s="11"/>
    </row>
    <row r="71" ht="23.25">
      <c r="D71" s="11"/>
    </row>
    <row r="72" ht="23.25">
      <c r="D72" s="11"/>
    </row>
    <row r="73" ht="23.25">
      <c r="D73" s="11"/>
    </row>
    <row r="74" ht="23.25">
      <c r="D74" s="11"/>
    </row>
    <row r="75" ht="23.25">
      <c r="D75" s="11"/>
    </row>
    <row r="76" ht="23.25">
      <c r="D76" s="11"/>
    </row>
    <row r="77" ht="23.25">
      <c r="D77" s="11"/>
    </row>
    <row r="78" ht="23.25">
      <c r="D78" s="11"/>
    </row>
    <row r="79" ht="23.25">
      <c r="D79" s="11"/>
    </row>
    <row r="80" ht="23.25">
      <c r="D80" s="11"/>
    </row>
    <row r="81" ht="23.25">
      <c r="D81" s="11"/>
    </row>
    <row r="82" ht="23.25">
      <c r="D82" s="11"/>
    </row>
    <row r="83" ht="23.25">
      <c r="D83" s="11"/>
    </row>
    <row r="84" ht="23.25">
      <c r="D84" s="11"/>
    </row>
    <row r="85" ht="23.25">
      <c r="D85" s="11"/>
    </row>
    <row r="86" ht="23.25">
      <c r="D86" s="11"/>
    </row>
    <row r="87" ht="23.25">
      <c r="D87" s="11"/>
    </row>
    <row r="88" ht="23.25">
      <c r="D88" s="11"/>
    </row>
    <row r="89" ht="23.25">
      <c r="D89" s="11"/>
    </row>
    <row r="90" ht="23.25">
      <c r="D90" s="11"/>
    </row>
    <row r="91" ht="23.25">
      <c r="D91" s="11"/>
    </row>
    <row r="92" ht="23.25">
      <c r="D92" s="11"/>
    </row>
    <row r="93" ht="23.25">
      <c r="D93" s="11"/>
    </row>
    <row r="94" ht="23.25">
      <c r="D94" s="11"/>
    </row>
    <row r="95" ht="23.25">
      <c r="D95" s="11"/>
    </row>
    <row r="96" ht="23.25">
      <c r="D96" s="11"/>
    </row>
    <row r="97" ht="23.25">
      <c r="D97" s="11"/>
    </row>
    <row r="98" ht="23.25">
      <c r="D98" s="1"/>
    </row>
    <row r="99" ht="23.25">
      <c r="D99" s="1"/>
    </row>
    <row r="100" ht="23.25">
      <c r="D100" s="1"/>
    </row>
    <row r="101" ht="23.25">
      <c r="D101" s="1"/>
    </row>
    <row r="102" ht="23.25">
      <c r="D102" s="1"/>
    </row>
    <row r="103" ht="23.25">
      <c r="D103" s="1"/>
    </row>
    <row r="104" ht="23.25">
      <c r="D104" s="1"/>
    </row>
    <row r="105" ht="23.25">
      <c r="D105" s="1"/>
    </row>
    <row r="106" ht="23.25">
      <c r="D106" s="1"/>
    </row>
  </sheetData>
  <sheetProtection/>
  <mergeCells count="3">
    <mergeCell ref="B1:J1"/>
    <mergeCell ref="B2:J2"/>
    <mergeCell ref="B3:J3"/>
  </mergeCells>
  <printOptions/>
  <pageMargins left="1.1811023622047245" right="0" top="0.5118110236220472" bottom="0.2755905511811024" header="0.5118110236220472" footer="0.15748031496062992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28">
      <selection activeCell="D40" sqref="D40"/>
    </sheetView>
  </sheetViews>
  <sheetFormatPr defaultColWidth="9.140625" defaultRowHeight="21.75"/>
  <cols>
    <col min="1" max="1" width="2.421875" style="3" customWidth="1"/>
    <col min="2" max="2" width="58.57421875" style="7" customWidth="1"/>
    <col min="3" max="3" width="11.140625" style="7" customWidth="1"/>
    <col min="4" max="5" width="20.7109375" style="3" customWidth="1"/>
    <col min="6" max="10" width="13.57421875" style="3" hidden="1" customWidth="1"/>
    <col min="11" max="11" width="13.7109375" style="3" hidden="1" customWidth="1"/>
    <col min="12" max="16384" width="9.140625" style="4" customWidth="1"/>
  </cols>
  <sheetData>
    <row r="1" spans="1:11" s="2" customFormat="1" ht="21" customHeight="1">
      <c r="A1" s="477"/>
      <c r="B1" s="816" t="s">
        <v>216</v>
      </c>
      <c r="C1" s="816"/>
      <c r="D1" s="816"/>
      <c r="E1" s="816"/>
      <c r="F1" s="816"/>
      <c r="G1" s="816"/>
      <c r="H1" s="816"/>
      <c r="I1" s="816"/>
      <c r="J1" s="816"/>
      <c r="K1" s="816"/>
    </row>
    <row r="2" spans="1:11" s="2" customFormat="1" ht="21" customHeight="1">
      <c r="A2" s="477"/>
      <c r="B2" s="817" t="s">
        <v>74</v>
      </c>
      <c r="C2" s="817"/>
      <c r="D2" s="817"/>
      <c r="E2" s="817"/>
      <c r="F2" s="817"/>
      <c r="G2" s="817"/>
      <c r="H2" s="817"/>
      <c r="I2" s="817"/>
      <c r="J2" s="817"/>
      <c r="K2" s="817"/>
    </row>
    <row r="3" spans="1:11" s="2" customFormat="1" ht="21" customHeight="1">
      <c r="A3" s="477"/>
      <c r="B3" s="818" t="s">
        <v>524</v>
      </c>
      <c r="C3" s="818"/>
      <c r="D3" s="818"/>
      <c r="E3" s="818"/>
      <c r="F3" s="818"/>
      <c r="G3" s="818"/>
      <c r="H3" s="818"/>
      <c r="I3" s="818"/>
      <c r="J3" s="818"/>
      <c r="K3" s="818"/>
    </row>
    <row r="4" spans="1:11" s="2" customFormat="1" ht="12" customHeight="1" thickBot="1">
      <c r="A4" s="477"/>
      <c r="B4" s="441"/>
      <c r="C4" s="441"/>
      <c r="D4" s="441"/>
      <c r="E4" s="441"/>
      <c r="F4" s="441"/>
      <c r="G4" s="441"/>
      <c r="H4" s="441"/>
      <c r="I4" s="441"/>
      <c r="J4" s="441"/>
      <c r="K4" s="441"/>
    </row>
    <row r="5" spans="1:11" s="2" customFormat="1" ht="27.75" customHeight="1" thickBot="1">
      <c r="A5" s="478"/>
      <c r="B5" s="479" t="s">
        <v>35</v>
      </c>
      <c r="C5" s="442" t="s">
        <v>93</v>
      </c>
      <c r="D5" s="443" t="s">
        <v>50</v>
      </c>
      <c r="E5" s="480" t="s">
        <v>51</v>
      </c>
      <c r="F5" s="447" t="s">
        <v>50</v>
      </c>
      <c r="G5" s="446" t="s">
        <v>51</v>
      </c>
      <c r="H5" s="447" t="s">
        <v>50</v>
      </c>
      <c r="I5" s="446" t="s">
        <v>51</v>
      </c>
      <c r="J5" s="448" t="s">
        <v>50</v>
      </c>
      <c r="K5" s="449" t="s">
        <v>51</v>
      </c>
    </row>
    <row r="6" spans="1:11" ht="24.75" customHeight="1">
      <c r="A6" s="478"/>
      <c r="B6" s="277" t="s">
        <v>259</v>
      </c>
      <c r="C6" s="481" t="s">
        <v>265</v>
      </c>
      <c r="D6" s="482">
        <v>3921949.93</v>
      </c>
      <c r="E6" s="483"/>
      <c r="F6" s="452"/>
      <c r="G6" s="453"/>
      <c r="H6" s="454">
        <f aca="true" t="shared" si="0" ref="H6:H21">D6+F6-E6-G6</f>
        <v>3921949.93</v>
      </c>
      <c r="I6" s="451"/>
      <c r="J6" s="450">
        <f>H6</f>
        <v>3921949.93</v>
      </c>
      <c r="K6" s="451"/>
    </row>
    <row r="7" spans="1:11" ht="24.75" customHeight="1">
      <c r="A7" s="478"/>
      <c r="B7" s="277" t="s">
        <v>526</v>
      </c>
      <c r="C7" s="484" t="s">
        <v>265</v>
      </c>
      <c r="D7" s="482">
        <v>4630099.5</v>
      </c>
      <c r="E7" s="485"/>
      <c r="F7" s="454"/>
      <c r="G7" s="451"/>
      <c r="H7" s="454">
        <f t="shared" si="0"/>
        <v>4630099.5</v>
      </c>
      <c r="I7" s="451"/>
      <c r="J7" s="450">
        <f>H7</f>
        <v>4630099.5</v>
      </c>
      <c r="K7" s="455"/>
    </row>
    <row r="8" spans="1:11" ht="24.75" customHeight="1">
      <c r="A8" s="478"/>
      <c r="B8" s="277" t="s">
        <v>527</v>
      </c>
      <c r="C8" s="484" t="s">
        <v>265</v>
      </c>
      <c r="D8" s="482">
        <v>166319.67</v>
      </c>
      <c r="E8" s="485"/>
      <c r="F8" s="454"/>
      <c r="G8" s="451"/>
      <c r="H8" s="454">
        <f t="shared" si="0"/>
        <v>166319.67</v>
      </c>
      <c r="I8" s="451"/>
      <c r="J8" s="450">
        <f aca="true" t="shared" si="1" ref="J8:J21">H8</f>
        <v>166319.67</v>
      </c>
      <c r="K8" s="455"/>
    </row>
    <row r="9" spans="1:11" ht="24.75" customHeight="1">
      <c r="A9" s="478"/>
      <c r="B9" s="277" t="s">
        <v>260</v>
      </c>
      <c r="C9" s="484" t="s">
        <v>266</v>
      </c>
      <c r="D9" s="482">
        <v>2069436.15</v>
      </c>
      <c r="E9" s="485"/>
      <c r="F9" s="454"/>
      <c r="G9" s="451"/>
      <c r="H9" s="454">
        <f t="shared" si="0"/>
        <v>2069436.15</v>
      </c>
      <c r="I9" s="451"/>
      <c r="J9" s="450">
        <f t="shared" si="1"/>
        <v>2069436.15</v>
      </c>
      <c r="K9" s="455"/>
    </row>
    <row r="10" spans="1:11" ht="24.75" customHeight="1">
      <c r="A10" s="478"/>
      <c r="B10" s="486" t="s">
        <v>261</v>
      </c>
      <c r="C10" s="484" t="s">
        <v>267</v>
      </c>
      <c r="D10" s="482">
        <v>6050</v>
      </c>
      <c r="E10" s="485"/>
      <c r="F10" s="454"/>
      <c r="G10" s="451"/>
      <c r="H10" s="454">
        <f t="shared" si="0"/>
        <v>6050</v>
      </c>
      <c r="I10" s="451"/>
      <c r="J10" s="450">
        <f t="shared" si="1"/>
        <v>6050</v>
      </c>
      <c r="K10" s="455"/>
    </row>
    <row r="11" spans="1:11" ht="24.75" customHeight="1">
      <c r="A11" s="478"/>
      <c r="B11" s="486" t="s">
        <v>80</v>
      </c>
      <c r="C11" s="484" t="s">
        <v>268</v>
      </c>
      <c r="D11" s="482">
        <v>1417.77</v>
      </c>
      <c r="E11" s="485"/>
      <c r="F11" s="454"/>
      <c r="G11" s="451"/>
      <c r="H11" s="454">
        <f t="shared" si="0"/>
        <v>1417.77</v>
      </c>
      <c r="I11" s="451"/>
      <c r="J11" s="450">
        <f t="shared" si="1"/>
        <v>1417.77</v>
      </c>
      <c r="K11" s="455"/>
    </row>
    <row r="12" spans="1:11" ht="24.75" customHeight="1">
      <c r="A12" s="478"/>
      <c r="B12" s="486" t="s">
        <v>344</v>
      </c>
      <c r="C12" s="484" t="s">
        <v>304</v>
      </c>
      <c r="D12" s="482">
        <v>200</v>
      </c>
      <c r="E12" s="485"/>
      <c r="F12" s="454"/>
      <c r="G12" s="451"/>
      <c r="H12" s="454">
        <f t="shared" si="0"/>
        <v>200</v>
      </c>
      <c r="I12" s="451"/>
      <c r="J12" s="450">
        <f t="shared" si="1"/>
        <v>200</v>
      </c>
      <c r="K12" s="455"/>
    </row>
    <row r="13" spans="1:11" ht="24.75" customHeight="1">
      <c r="A13" s="478"/>
      <c r="B13" s="486" t="s">
        <v>345</v>
      </c>
      <c r="C13" s="484" t="s">
        <v>307</v>
      </c>
      <c r="D13" s="482">
        <v>500</v>
      </c>
      <c r="E13" s="485"/>
      <c r="F13" s="454"/>
      <c r="G13" s="451"/>
      <c r="H13" s="454">
        <f t="shared" si="0"/>
        <v>500</v>
      </c>
      <c r="I13" s="451"/>
      <c r="J13" s="450">
        <f t="shared" si="1"/>
        <v>500</v>
      </c>
      <c r="K13" s="455"/>
    </row>
    <row r="14" spans="1:11" ht="24.75" customHeight="1">
      <c r="A14" s="478"/>
      <c r="B14" s="486" t="s">
        <v>613</v>
      </c>
      <c r="C14" s="484" t="s">
        <v>271</v>
      </c>
      <c r="D14" s="482">
        <v>15400</v>
      </c>
      <c r="E14" s="485"/>
      <c r="F14" s="454"/>
      <c r="G14" s="451"/>
      <c r="H14" s="454">
        <f t="shared" si="0"/>
        <v>15400</v>
      </c>
      <c r="I14" s="451"/>
      <c r="J14" s="450">
        <f t="shared" si="1"/>
        <v>15400</v>
      </c>
      <c r="K14" s="455"/>
    </row>
    <row r="15" spans="1:11" ht="24.75" customHeight="1">
      <c r="A15" s="478"/>
      <c r="B15" s="486" t="s">
        <v>628</v>
      </c>
      <c r="C15" s="484" t="s">
        <v>629</v>
      </c>
      <c r="D15" s="482">
        <v>415</v>
      </c>
      <c r="E15" s="485"/>
      <c r="F15" s="454"/>
      <c r="G15" s="451"/>
      <c r="H15" s="454">
        <f t="shared" si="0"/>
        <v>415</v>
      </c>
      <c r="I15" s="451"/>
      <c r="J15" s="450">
        <f t="shared" si="1"/>
        <v>415</v>
      </c>
      <c r="K15" s="455"/>
    </row>
    <row r="16" spans="1:11" ht="24.75" customHeight="1">
      <c r="A16" s="478"/>
      <c r="B16" s="486" t="s">
        <v>203</v>
      </c>
      <c r="C16" s="484" t="s">
        <v>630</v>
      </c>
      <c r="D16" s="482">
        <v>163900</v>
      </c>
      <c r="E16" s="485"/>
      <c r="F16" s="454"/>
      <c r="G16" s="451"/>
      <c r="H16" s="454">
        <f t="shared" si="0"/>
        <v>163900</v>
      </c>
      <c r="I16" s="451"/>
      <c r="J16" s="450">
        <f t="shared" si="1"/>
        <v>163900</v>
      </c>
      <c r="K16" s="455"/>
    </row>
    <row r="17" spans="1:11" ht="24.75" customHeight="1">
      <c r="A17" s="478"/>
      <c r="B17" s="486" t="s">
        <v>18</v>
      </c>
      <c r="C17" s="484" t="s">
        <v>290</v>
      </c>
      <c r="D17" s="482"/>
      <c r="E17" s="485">
        <v>3228300</v>
      </c>
      <c r="F17" s="454"/>
      <c r="G17" s="451"/>
      <c r="H17" s="454"/>
      <c r="I17" s="451"/>
      <c r="J17" s="450"/>
      <c r="K17" s="455"/>
    </row>
    <row r="18" spans="1:11" ht="24.75" customHeight="1">
      <c r="A18" s="478"/>
      <c r="B18" s="486" t="s">
        <v>264</v>
      </c>
      <c r="C18" s="484" t="s">
        <v>291</v>
      </c>
      <c r="D18" s="482"/>
      <c r="E18" s="485">
        <v>0</v>
      </c>
      <c r="F18" s="454"/>
      <c r="G18" s="451"/>
      <c r="H18" s="454">
        <f t="shared" si="0"/>
        <v>0</v>
      </c>
      <c r="I18" s="451"/>
      <c r="J18" s="450">
        <f t="shared" si="1"/>
        <v>0</v>
      </c>
      <c r="K18" s="455"/>
    </row>
    <row r="19" spans="1:11" ht="24.75" customHeight="1">
      <c r="A19" s="478"/>
      <c r="B19" s="486" t="s">
        <v>535</v>
      </c>
      <c r="C19" s="484" t="s">
        <v>536</v>
      </c>
      <c r="D19" s="482"/>
      <c r="E19" s="485">
        <v>15400</v>
      </c>
      <c r="F19" s="454"/>
      <c r="G19" s="451"/>
      <c r="H19" s="454"/>
      <c r="I19" s="451"/>
      <c r="J19" s="450"/>
      <c r="K19" s="455"/>
    </row>
    <row r="20" spans="1:11" ht="24.75" customHeight="1">
      <c r="A20" s="478"/>
      <c r="B20" s="486" t="s">
        <v>53</v>
      </c>
      <c r="C20" s="484" t="s">
        <v>292</v>
      </c>
      <c r="D20" s="482"/>
      <c r="E20" s="485">
        <v>4198677.65</v>
      </c>
      <c r="F20" s="454"/>
      <c r="G20" s="451"/>
      <c r="H20" s="454">
        <f t="shared" si="0"/>
        <v>-4198677.65</v>
      </c>
      <c r="I20" s="451"/>
      <c r="J20" s="450">
        <f t="shared" si="1"/>
        <v>-4198677.65</v>
      </c>
      <c r="K20" s="455"/>
    </row>
    <row r="21" spans="1:11" ht="24.75" customHeight="1">
      <c r="A21" s="478"/>
      <c r="B21" s="486" t="s">
        <v>33</v>
      </c>
      <c r="C21" s="484" t="s">
        <v>293</v>
      </c>
      <c r="D21" s="482"/>
      <c r="E21" s="485">
        <v>2697286.85</v>
      </c>
      <c r="F21" s="454"/>
      <c r="G21" s="451"/>
      <c r="H21" s="454">
        <f t="shared" si="0"/>
        <v>-2697286.85</v>
      </c>
      <c r="I21" s="451"/>
      <c r="J21" s="450">
        <f t="shared" si="1"/>
        <v>-2697286.85</v>
      </c>
      <c r="K21" s="455"/>
    </row>
    <row r="22" spans="1:11" ht="24.75" customHeight="1">
      <c r="A22" s="478"/>
      <c r="B22" s="486" t="s">
        <v>92</v>
      </c>
      <c r="C22" s="484" t="s">
        <v>295</v>
      </c>
      <c r="D22" s="482"/>
      <c r="E22" s="485">
        <f>กระดาษทำการงบทดลอง!S47</f>
        <v>428814.85</v>
      </c>
      <c r="F22" s="454"/>
      <c r="G22" s="451"/>
      <c r="H22" s="454"/>
      <c r="I22" s="455">
        <f>E22+G22-D22-F22</f>
        <v>428814.85</v>
      </c>
      <c r="J22" s="450"/>
      <c r="K22" s="455">
        <f>I22</f>
        <v>428814.85</v>
      </c>
    </row>
    <row r="23" spans="1:11" ht="24.75" customHeight="1">
      <c r="A23" s="478"/>
      <c r="B23" s="486" t="s">
        <v>631</v>
      </c>
      <c r="C23" s="484" t="s">
        <v>295</v>
      </c>
      <c r="D23" s="482"/>
      <c r="E23" s="485">
        <v>76989</v>
      </c>
      <c r="F23" s="454"/>
      <c r="G23" s="451"/>
      <c r="H23" s="454"/>
      <c r="I23" s="455"/>
      <c r="J23" s="450"/>
      <c r="K23" s="455"/>
    </row>
    <row r="24" spans="1:11" ht="24.75" customHeight="1">
      <c r="A24" s="478"/>
      <c r="B24" s="487" t="s">
        <v>207</v>
      </c>
      <c r="C24" s="488" t="s">
        <v>332</v>
      </c>
      <c r="D24" s="456"/>
      <c r="E24" s="455">
        <f>กระดาษทำการงบทดลอง!S49</f>
        <v>330219.67000000004</v>
      </c>
      <c r="F24" s="457"/>
      <c r="G24" s="455"/>
      <c r="H24" s="457"/>
      <c r="I24" s="455">
        <f>E24+G24-D24-F24</f>
        <v>330219.67000000004</v>
      </c>
      <c r="J24" s="456"/>
      <c r="K24" s="455">
        <f>I24</f>
        <v>330219.67000000004</v>
      </c>
    </row>
    <row r="25" spans="1:11" ht="24.75" customHeight="1">
      <c r="A25" s="478"/>
      <c r="B25" s="487"/>
      <c r="C25" s="489"/>
      <c r="D25" s="456"/>
      <c r="E25" s="455"/>
      <c r="F25" s="457"/>
      <c r="G25" s="455"/>
      <c r="H25" s="457"/>
      <c r="I25" s="455">
        <f>E25+G25-D25-F25</f>
        <v>0</v>
      </c>
      <c r="J25" s="456"/>
      <c r="K25" s="455">
        <f>I25</f>
        <v>0</v>
      </c>
    </row>
    <row r="26" spans="1:11" ht="24.75" customHeight="1">
      <c r="A26" s="478"/>
      <c r="B26" s="487"/>
      <c r="C26" s="489"/>
      <c r="D26" s="456"/>
      <c r="E26" s="455"/>
      <c r="F26" s="457"/>
      <c r="G26" s="455"/>
      <c r="H26" s="457"/>
      <c r="I26" s="455">
        <f>E26+G26-D26-F26</f>
        <v>0</v>
      </c>
      <c r="J26" s="456"/>
      <c r="K26" s="455">
        <f>I26</f>
        <v>0</v>
      </c>
    </row>
    <row r="27" spans="1:11" ht="24.75" customHeight="1">
      <c r="A27" s="478"/>
      <c r="B27" s="487"/>
      <c r="C27" s="489"/>
      <c r="D27" s="456"/>
      <c r="E27" s="455"/>
      <c r="F27" s="457"/>
      <c r="G27" s="455"/>
      <c r="H27" s="457"/>
      <c r="I27" s="455">
        <f>E27+G27-D27-F27</f>
        <v>0</v>
      </c>
      <c r="J27" s="456"/>
      <c r="K27" s="455">
        <f>I27</f>
        <v>0</v>
      </c>
    </row>
    <row r="28" spans="1:11" ht="24.75" customHeight="1">
      <c r="A28" s="478"/>
      <c r="B28" s="487"/>
      <c r="C28" s="490"/>
      <c r="D28" s="450"/>
      <c r="E28" s="491"/>
      <c r="F28" s="457"/>
      <c r="G28" s="460">
        <v>3560346</v>
      </c>
      <c r="H28" s="454">
        <f>D28+F28-E28-G28</f>
        <v>-3560346</v>
      </c>
      <c r="I28" s="460"/>
      <c r="J28" s="456">
        <f>H28</f>
        <v>-3560346</v>
      </c>
      <c r="K28" s="455"/>
    </row>
    <row r="29" spans="1:11" ht="24.75" customHeight="1" thickBot="1">
      <c r="A29" s="478"/>
      <c r="B29" s="487"/>
      <c r="C29" s="492"/>
      <c r="D29" s="493"/>
      <c r="E29" s="458"/>
      <c r="F29" s="457"/>
      <c r="G29" s="460">
        <v>736380</v>
      </c>
      <c r="H29" s="454">
        <f>D29+F29-E29-G29</f>
        <v>-736380</v>
      </c>
      <c r="I29" s="460"/>
      <c r="J29" s="456">
        <f>H29</f>
        <v>-736380</v>
      </c>
      <c r="K29" s="455"/>
    </row>
    <row r="30" spans="1:11" s="6" customFormat="1" ht="30" customHeight="1" thickBot="1">
      <c r="A30" s="494"/>
      <c r="B30" s="442" t="s">
        <v>58</v>
      </c>
      <c r="C30" s="495"/>
      <c r="D30" s="474">
        <f aca="true" t="shared" si="2" ref="D30:K30">SUM(D6:D29)</f>
        <v>10975688.02</v>
      </c>
      <c r="E30" s="465">
        <f t="shared" si="2"/>
        <v>10975688.02</v>
      </c>
      <c r="F30" s="464">
        <f t="shared" si="2"/>
        <v>0</v>
      </c>
      <c r="G30" s="465">
        <f t="shared" si="2"/>
        <v>4296726</v>
      </c>
      <c r="H30" s="466">
        <f t="shared" si="2"/>
        <v>-217002.4800000009</v>
      </c>
      <c r="I30" s="465">
        <f t="shared" si="2"/>
        <v>759034.52</v>
      </c>
      <c r="J30" s="467">
        <f t="shared" si="2"/>
        <v>-217002.4800000009</v>
      </c>
      <c r="K30" s="468">
        <f t="shared" si="2"/>
        <v>759034.52</v>
      </c>
    </row>
    <row r="31" spans="2:11" ht="23.25">
      <c r="B31" s="758"/>
      <c r="C31" s="758"/>
      <c r="D31" s="759"/>
      <c r="E31" s="759">
        <f>D30-E30</f>
        <v>0</v>
      </c>
      <c r="F31" s="8"/>
      <c r="G31" s="8">
        <f>F30-G30</f>
        <v>-4296726</v>
      </c>
      <c r="H31" s="8"/>
      <c r="I31" s="8">
        <f>H30-I30</f>
        <v>-976037.0000000009</v>
      </c>
      <c r="J31" s="8"/>
      <c r="K31" s="8">
        <f>J30-K30</f>
        <v>-976037.0000000009</v>
      </c>
    </row>
    <row r="32" spans="2:11" ht="21.75" customHeight="1" hidden="1">
      <c r="B32" s="760" t="s">
        <v>73</v>
      </c>
      <c r="C32" s="760"/>
      <c r="D32" s="761"/>
      <c r="E32" s="761"/>
      <c r="F32" s="9"/>
      <c r="G32" s="9"/>
      <c r="H32" s="9"/>
      <c r="I32" s="9"/>
      <c r="J32" s="9"/>
      <c r="K32" s="9"/>
    </row>
    <row r="33" spans="2:11" ht="21.75" customHeight="1" hidden="1">
      <c r="B33" s="762"/>
      <c r="C33" s="762"/>
      <c r="D33" s="761"/>
      <c r="E33" s="761"/>
      <c r="F33" s="9"/>
      <c r="G33" s="9"/>
      <c r="H33" s="9"/>
      <c r="I33" s="9"/>
      <c r="J33" s="9"/>
      <c r="K33" s="9"/>
    </row>
    <row r="34" spans="2:11" ht="23.25">
      <c r="B34" s="760"/>
      <c r="C34" s="760"/>
      <c r="D34" s="761"/>
      <c r="E34" s="761"/>
      <c r="F34" s="9"/>
      <c r="G34" s="9"/>
      <c r="H34" s="9"/>
      <c r="I34" s="9"/>
      <c r="J34" s="9"/>
      <c r="K34" s="9"/>
    </row>
    <row r="35" spans="1:11" s="752" customFormat="1" ht="18.75">
      <c r="A35" s="751"/>
      <c r="B35" s="763"/>
      <c r="C35" s="763"/>
      <c r="D35" s="764"/>
      <c r="E35" s="764"/>
      <c r="F35" s="751"/>
      <c r="G35" s="751"/>
      <c r="H35" s="751"/>
      <c r="I35" s="751"/>
      <c r="J35" s="751"/>
      <c r="K35" s="751"/>
    </row>
    <row r="36" spans="1:11" s="752" customFormat="1" ht="18.75">
      <c r="A36" s="751"/>
      <c r="B36" s="763"/>
      <c r="C36" s="763"/>
      <c r="D36" s="764"/>
      <c r="E36" s="764"/>
      <c r="F36" s="751"/>
      <c r="G36" s="751"/>
      <c r="H36" s="751"/>
      <c r="I36" s="751"/>
      <c r="J36" s="751"/>
      <c r="K36" s="751"/>
    </row>
    <row r="37" spans="1:11" s="752" customFormat="1" ht="18.75">
      <c r="A37" s="751"/>
      <c r="B37" s="763"/>
      <c r="C37" s="763"/>
      <c r="D37" s="764"/>
      <c r="E37" s="764"/>
      <c r="F37" s="751"/>
      <c r="G37" s="751"/>
      <c r="H37" s="751"/>
      <c r="I37" s="751"/>
      <c r="J37" s="751"/>
      <c r="K37" s="751"/>
    </row>
    <row r="38" spans="1:11" s="752" customFormat="1" ht="18.75">
      <c r="A38" s="751"/>
      <c r="B38" s="763"/>
      <c r="C38" s="763"/>
      <c r="D38" s="764"/>
      <c r="E38" s="764"/>
      <c r="F38" s="751"/>
      <c r="G38" s="751"/>
      <c r="H38" s="751"/>
      <c r="I38" s="751"/>
      <c r="J38" s="751"/>
      <c r="K38" s="751"/>
    </row>
    <row r="39" spans="1:11" s="752" customFormat="1" ht="18.75">
      <c r="A39" s="751"/>
      <c r="B39" s="763"/>
      <c r="C39" s="763"/>
      <c r="D39" s="764"/>
      <c r="E39" s="764"/>
      <c r="F39" s="751"/>
      <c r="G39" s="751"/>
      <c r="H39" s="751"/>
      <c r="I39" s="751"/>
      <c r="J39" s="751"/>
      <c r="K39" s="751"/>
    </row>
    <row r="48" ht="23.25">
      <c r="E48" s="1"/>
    </row>
    <row r="49" ht="23.25">
      <c r="E49" s="11"/>
    </row>
    <row r="50" ht="23.25">
      <c r="E50" s="11"/>
    </row>
    <row r="51" ht="23.25">
      <c r="E51" s="11"/>
    </row>
    <row r="52" ht="23.25">
      <c r="E52" s="11"/>
    </row>
    <row r="53" ht="23.25">
      <c r="E53" s="11"/>
    </row>
    <row r="54" ht="23.25">
      <c r="E54" s="11"/>
    </row>
    <row r="55" ht="23.25">
      <c r="E55" s="11"/>
    </row>
    <row r="56" ht="23.25">
      <c r="E56" s="11"/>
    </row>
    <row r="57" ht="23.25">
      <c r="E57" s="11"/>
    </row>
    <row r="58" ht="23.25">
      <c r="E58" s="11"/>
    </row>
    <row r="59" ht="23.25">
      <c r="E59" s="11"/>
    </row>
    <row r="60" ht="23.25">
      <c r="E60" s="11"/>
    </row>
    <row r="61" ht="23.25">
      <c r="E61" s="11"/>
    </row>
    <row r="62" ht="23.25">
      <c r="E62" s="11"/>
    </row>
    <row r="63" ht="23.25">
      <c r="E63" s="11"/>
    </row>
    <row r="64" ht="23.25">
      <c r="E64" s="11"/>
    </row>
    <row r="65" ht="23.25">
      <c r="E65" s="11"/>
    </row>
    <row r="66" ht="23.25">
      <c r="E66" s="11"/>
    </row>
    <row r="67" ht="23.25">
      <c r="E67" s="11"/>
    </row>
    <row r="68" ht="23.25">
      <c r="E68" s="11"/>
    </row>
    <row r="69" ht="23.25">
      <c r="E69" s="11"/>
    </row>
    <row r="70" ht="23.25">
      <c r="E70" s="11"/>
    </row>
    <row r="71" ht="23.25">
      <c r="E71" s="11"/>
    </row>
    <row r="72" ht="23.25">
      <c r="E72" s="11"/>
    </row>
    <row r="73" ht="23.25">
      <c r="E73" s="11"/>
    </row>
    <row r="74" ht="23.25">
      <c r="E74" s="11"/>
    </row>
    <row r="75" ht="23.25">
      <c r="E75" s="11"/>
    </row>
    <row r="76" ht="23.25">
      <c r="E76" s="11"/>
    </row>
    <row r="77" ht="23.25">
      <c r="E77" s="11"/>
    </row>
    <row r="78" ht="23.25">
      <c r="E78" s="11"/>
    </row>
    <row r="79" ht="23.25">
      <c r="E79" s="11"/>
    </row>
    <row r="80" ht="23.25">
      <c r="E80" s="11"/>
    </row>
    <row r="81" ht="23.25">
      <c r="E81" s="11"/>
    </row>
    <row r="82" ht="23.25">
      <c r="E82" s="11"/>
    </row>
    <row r="83" ht="23.25">
      <c r="E83" s="11"/>
    </row>
    <row r="84" ht="23.25">
      <c r="E84" s="11"/>
    </row>
    <row r="85" ht="23.25">
      <c r="E85" s="11"/>
    </row>
    <row r="86" ht="23.25">
      <c r="E86" s="11"/>
    </row>
    <row r="87" ht="23.25">
      <c r="E87" s="11"/>
    </row>
    <row r="88" ht="23.25">
      <c r="E88" s="11"/>
    </row>
    <row r="89" ht="23.25">
      <c r="E89" s="11"/>
    </row>
    <row r="90" ht="23.25">
      <c r="E90" s="11"/>
    </row>
    <row r="91" ht="23.25">
      <c r="E91" s="11"/>
    </row>
    <row r="92" ht="23.25">
      <c r="E92" s="11"/>
    </row>
    <row r="93" ht="23.25">
      <c r="E93" s="1"/>
    </row>
    <row r="94" ht="23.25">
      <c r="E94" s="1"/>
    </row>
    <row r="95" ht="23.25">
      <c r="E95" s="1"/>
    </row>
    <row r="96" ht="23.25">
      <c r="E96" s="1"/>
    </row>
    <row r="97" ht="23.25">
      <c r="E97" s="1"/>
    </row>
    <row r="98" ht="23.25">
      <c r="E98" s="1"/>
    </row>
    <row r="99" ht="23.25">
      <c r="E99" s="1"/>
    </row>
    <row r="100" ht="23.25">
      <c r="E100" s="1"/>
    </row>
    <row r="101" ht="23.25">
      <c r="E101" s="1"/>
    </row>
  </sheetData>
  <sheetProtection/>
  <mergeCells count="3">
    <mergeCell ref="B1:K1"/>
    <mergeCell ref="B2:K2"/>
    <mergeCell ref="B3:K3"/>
  </mergeCells>
  <printOptions/>
  <pageMargins left="0.56" right="0" top="0.9055118110236221" bottom="0.2755905511811024" header="0.5118110236220472" footer="0.1574803149606299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6">
      <selection activeCell="E30" sqref="E30"/>
    </sheetView>
  </sheetViews>
  <sheetFormatPr defaultColWidth="9.140625" defaultRowHeight="21.75"/>
  <cols>
    <col min="1" max="1" width="44.7109375" style="216" customWidth="1"/>
    <col min="2" max="2" width="11.7109375" style="216" customWidth="1"/>
    <col min="3" max="3" width="12.28125" style="218" customWidth="1"/>
    <col min="4" max="4" width="13.28125" style="219" customWidth="1"/>
    <col min="5" max="5" width="33.7109375" style="216" customWidth="1"/>
    <col min="6" max="6" width="12.57421875" style="222" customWidth="1"/>
    <col min="7" max="7" width="12.8515625" style="218" customWidth="1"/>
    <col min="8" max="8" width="13.421875" style="219" customWidth="1"/>
    <col min="9" max="10" width="9.140625" style="216" customWidth="1"/>
    <col min="11" max="11" width="9.57421875" style="216" bestFit="1" customWidth="1"/>
    <col min="12" max="16384" width="9.140625" style="216" customWidth="1"/>
  </cols>
  <sheetData>
    <row r="1" spans="1:8" ht="21">
      <c r="A1" s="819" t="s">
        <v>218</v>
      </c>
      <c r="B1" s="819"/>
      <c r="C1" s="819"/>
      <c r="D1" s="819"/>
      <c r="E1" s="819"/>
      <c r="F1" s="819"/>
      <c r="G1" s="819"/>
      <c r="H1" s="819"/>
    </row>
    <row r="2" spans="1:8" ht="21">
      <c r="A2" s="819" t="s">
        <v>1</v>
      </c>
      <c r="B2" s="819"/>
      <c r="C2" s="819"/>
      <c r="D2" s="819"/>
      <c r="E2" s="819"/>
      <c r="F2" s="819"/>
      <c r="G2" s="819"/>
      <c r="H2" s="819"/>
    </row>
    <row r="3" spans="1:8" ht="21.75" thickBot="1">
      <c r="A3" s="820" t="s">
        <v>551</v>
      </c>
      <c r="B3" s="820"/>
      <c r="C3" s="820"/>
      <c r="D3" s="820"/>
      <c r="E3" s="820"/>
      <c r="F3" s="820"/>
      <c r="G3" s="820"/>
      <c r="H3" s="820"/>
    </row>
    <row r="4" spans="1:8" s="205" customFormat="1" ht="21">
      <c r="A4" s="225" t="s">
        <v>3</v>
      </c>
      <c r="B4" s="229"/>
      <c r="C4" s="234"/>
      <c r="D4" s="249"/>
      <c r="E4" s="238" t="s">
        <v>2</v>
      </c>
      <c r="F4" s="239"/>
      <c r="G4" s="234"/>
      <c r="H4" s="253"/>
    </row>
    <row r="5" spans="1:8" s="215" customFormat="1" ht="19.5" thickBot="1">
      <c r="A5" s="226" t="s">
        <v>649</v>
      </c>
      <c r="B5" s="240"/>
      <c r="C5" s="235"/>
      <c r="D5" s="261">
        <v>19234849.25</v>
      </c>
      <c r="E5" s="230" t="s">
        <v>404</v>
      </c>
      <c r="F5" s="240"/>
      <c r="G5" s="235"/>
      <c r="H5" s="263">
        <f>D5</f>
        <v>19234849.25</v>
      </c>
    </row>
    <row r="6" spans="1:8" s="215" customFormat="1" ht="19.5" thickTop="1">
      <c r="A6" s="227" t="s">
        <v>648</v>
      </c>
      <c r="B6" s="230"/>
      <c r="C6" s="235"/>
      <c r="D6" s="260"/>
      <c r="E6" s="230" t="s">
        <v>264</v>
      </c>
      <c r="F6" s="240"/>
      <c r="G6" s="235"/>
      <c r="H6" s="262">
        <v>0</v>
      </c>
    </row>
    <row r="7" spans="1:8" s="215" customFormat="1" ht="18.75">
      <c r="A7" s="227" t="s">
        <v>259</v>
      </c>
      <c r="B7" s="230"/>
      <c r="C7" s="235">
        <v>3921949.93</v>
      </c>
      <c r="D7" s="260"/>
      <c r="E7" s="230" t="s">
        <v>761</v>
      </c>
      <c r="F7" s="240"/>
      <c r="G7" s="235"/>
      <c r="H7" s="254">
        <v>3228300</v>
      </c>
    </row>
    <row r="8" spans="1:8" s="215" customFormat="1" ht="18.75">
      <c r="A8" s="227" t="s">
        <v>526</v>
      </c>
      <c r="B8" s="230"/>
      <c r="C8" s="235">
        <v>4630099.5</v>
      </c>
      <c r="D8" s="233"/>
      <c r="E8" s="230" t="s">
        <v>762</v>
      </c>
      <c r="F8" s="240"/>
      <c r="G8" s="235"/>
      <c r="H8" s="254">
        <v>15400</v>
      </c>
    </row>
    <row r="9" spans="1:8" s="215" customFormat="1" ht="18.75">
      <c r="A9" s="227" t="s">
        <v>527</v>
      </c>
      <c r="B9" s="230"/>
      <c r="C9" s="235">
        <v>166319.67</v>
      </c>
      <c r="D9" s="233"/>
      <c r="E9" s="230" t="s">
        <v>658</v>
      </c>
      <c r="F9" s="240"/>
      <c r="G9" s="235">
        <v>428814.85</v>
      </c>
      <c r="H9" s="254"/>
    </row>
    <row r="10" spans="1:8" s="215" customFormat="1" ht="18.75">
      <c r="A10" s="227" t="s">
        <v>260</v>
      </c>
      <c r="B10" s="230"/>
      <c r="C10" s="245">
        <v>2069436.15</v>
      </c>
      <c r="D10" s="233">
        <f>SUM(C7+C8+C9+C10)</f>
        <v>10787805.25</v>
      </c>
      <c r="E10" s="231" t="s">
        <v>657</v>
      </c>
      <c r="F10" s="240"/>
      <c r="G10" s="235">
        <v>330219.67</v>
      </c>
      <c r="H10" s="254"/>
    </row>
    <row r="11" spans="1:8" s="215" customFormat="1" ht="18.75">
      <c r="A11" s="227" t="s">
        <v>261</v>
      </c>
      <c r="B11" s="230"/>
      <c r="C11" s="244"/>
      <c r="D11" s="233">
        <v>6050</v>
      </c>
      <c r="E11" s="230" t="s">
        <v>659</v>
      </c>
      <c r="F11" s="240"/>
      <c r="G11" s="245">
        <v>76989</v>
      </c>
      <c r="H11" s="254">
        <f>SUM(G9+G10+G11)</f>
        <v>836023.52</v>
      </c>
    </row>
    <row r="12" spans="1:8" s="215" customFormat="1" ht="18.75">
      <c r="A12" s="227" t="s">
        <v>80</v>
      </c>
      <c r="B12" s="230"/>
      <c r="C12" s="235"/>
      <c r="D12" s="233">
        <v>1417.77</v>
      </c>
      <c r="E12" s="230" t="s">
        <v>636</v>
      </c>
      <c r="F12" s="240"/>
      <c r="G12" s="244">
        <v>1455176.6</v>
      </c>
      <c r="H12" s="254"/>
    </row>
    <row r="13" spans="1:8" s="215" customFormat="1" ht="18.75">
      <c r="A13" s="227" t="s">
        <v>344</v>
      </c>
      <c r="B13" s="230"/>
      <c r="C13" s="235"/>
      <c r="D13" s="233">
        <v>200</v>
      </c>
      <c r="E13" s="230" t="s">
        <v>637</v>
      </c>
      <c r="F13" s="240"/>
      <c r="G13" s="245">
        <v>1242110.25</v>
      </c>
      <c r="H13" s="254">
        <f>SUM(G12+G13)</f>
        <v>2697286.85</v>
      </c>
    </row>
    <row r="14" spans="1:8" s="215" customFormat="1" ht="18.75">
      <c r="A14" s="227" t="s">
        <v>345</v>
      </c>
      <c r="B14" s="230"/>
      <c r="C14" s="235"/>
      <c r="D14" s="233">
        <v>500</v>
      </c>
      <c r="E14" s="230" t="s">
        <v>638</v>
      </c>
      <c r="F14" s="240"/>
      <c r="G14" s="244">
        <v>792653.98</v>
      </c>
      <c r="H14" s="254"/>
    </row>
    <row r="15" spans="1:8" s="215" customFormat="1" ht="18.75">
      <c r="A15" s="227" t="s">
        <v>634</v>
      </c>
      <c r="B15" s="230"/>
      <c r="C15" s="235"/>
      <c r="D15" s="233">
        <v>415</v>
      </c>
      <c r="E15" s="246" t="s">
        <v>409</v>
      </c>
      <c r="F15" s="240"/>
      <c r="G15" s="235">
        <v>4968440.99</v>
      </c>
      <c r="H15" s="254"/>
    </row>
    <row r="16" spans="1:8" s="217" customFormat="1" ht="18.75">
      <c r="A16" s="227" t="s">
        <v>735</v>
      </c>
      <c r="B16" s="230"/>
      <c r="C16" s="235"/>
      <c r="D16" s="233">
        <v>163900</v>
      </c>
      <c r="E16" s="230" t="s">
        <v>406</v>
      </c>
      <c r="F16" s="240"/>
      <c r="G16" s="235">
        <v>0</v>
      </c>
      <c r="H16" s="254"/>
    </row>
    <row r="17" spans="1:8" s="248" customFormat="1" ht="18.75">
      <c r="A17" s="644" t="s">
        <v>635</v>
      </c>
      <c r="B17" s="232"/>
      <c r="C17" s="237"/>
      <c r="D17" s="250">
        <v>15400</v>
      </c>
      <c r="E17" s="230" t="s">
        <v>407</v>
      </c>
      <c r="F17" s="240"/>
      <c r="G17" s="235">
        <v>22749</v>
      </c>
      <c r="H17" s="254"/>
    </row>
    <row r="18" spans="1:8" s="248" customFormat="1" ht="18.75">
      <c r="A18" s="228"/>
      <c r="B18" s="231"/>
      <c r="C18" s="236"/>
      <c r="D18" s="243"/>
      <c r="E18" s="230" t="s">
        <v>408</v>
      </c>
      <c r="F18" s="240"/>
      <c r="G18" s="235">
        <v>0</v>
      </c>
      <c r="H18" s="254"/>
    </row>
    <row r="19" spans="1:8" s="248" customFormat="1" ht="18.75">
      <c r="A19" s="228"/>
      <c r="B19" s="251"/>
      <c r="C19" s="236"/>
      <c r="D19" s="646"/>
      <c r="E19" s="230" t="s">
        <v>639</v>
      </c>
      <c r="F19" s="242"/>
      <c r="G19" s="235">
        <v>0</v>
      </c>
      <c r="H19" s="255"/>
    </row>
    <row r="20" spans="1:8" s="248" customFormat="1" ht="18.75">
      <c r="A20" s="228"/>
      <c r="B20" s="251"/>
      <c r="C20" s="236"/>
      <c r="D20" s="647"/>
      <c r="E20" s="247" t="s">
        <v>640</v>
      </c>
      <c r="F20" s="241"/>
      <c r="G20" s="684">
        <v>-1242110.25</v>
      </c>
      <c r="H20" s="254"/>
    </row>
    <row r="21" spans="1:8" s="248" customFormat="1" ht="21">
      <c r="A21" s="228"/>
      <c r="B21" s="251"/>
      <c r="C21" s="236"/>
      <c r="D21" s="647"/>
      <c r="E21" s="230" t="s">
        <v>405</v>
      </c>
      <c r="F21" s="241"/>
      <c r="G21" s="498">
        <v>-343000</v>
      </c>
      <c r="H21" s="254"/>
    </row>
    <row r="22" spans="1:8" s="248" customFormat="1" ht="21">
      <c r="A22" s="228"/>
      <c r="B22" s="251"/>
      <c r="C22" s="236"/>
      <c r="D22" s="647"/>
      <c r="E22" s="230" t="s">
        <v>641</v>
      </c>
      <c r="F22" s="241"/>
      <c r="G22" s="498">
        <v>-56.07</v>
      </c>
      <c r="H22" s="255"/>
    </row>
    <row r="23" spans="1:8" s="248" customFormat="1" ht="18.75">
      <c r="A23" s="228"/>
      <c r="B23" s="251"/>
      <c r="C23" s="236"/>
      <c r="D23" s="256"/>
      <c r="E23" s="252" t="s">
        <v>779</v>
      </c>
      <c r="F23" s="241"/>
      <c r="G23" s="645"/>
      <c r="H23" s="648">
        <f>G14+G15+G16+G17+G18+G19+G20+G21+G22</f>
        <v>4198677.65</v>
      </c>
    </row>
    <row r="24" spans="1:11" s="217" customFormat="1" ht="19.5" thickBot="1">
      <c r="A24" s="228"/>
      <c r="B24" s="248"/>
      <c r="C24" s="237"/>
      <c r="D24" s="257">
        <f>SUM(D9:D23)</f>
        <v>10975688.02</v>
      </c>
      <c r="E24" s="248"/>
      <c r="F24" s="241"/>
      <c r="G24" s="258"/>
      <c r="H24" s="259">
        <f>SUM(H6:H23)</f>
        <v>10975688.02</v>
      </c>
      <c r="K24" s="767">
        <f>SUM(H24-D24)</f>
        <v>0</v>
      </c>
    </row>
    <row r="25" spans="3:8" s="217" customFormat="1" ht="19.5" thickTop="1">
      <c r="C25" s="220"/>
      <c r="D25" s="219"/>
      <c r="F25" s="224"/>
      <c r="G25" s="220"/>
      <c r="H25" s="219"/>
    </row>
    <row r="26" spans="3:8" s="215" customFormat="1" ht="18.75">
      <c r="C26" s="219"/>
      <c r="D26" s="219"/>
      <c r="G26" s="219"/>
      <c r="H26" s="219"/>
    </row>
    <row r="27" spans="3:8" s="215" customFormat="1" ht="18.75">
      <c r="C27" s="219"/>
      <c r="D27" s="219"/>
      <c r="E27" s="221"/>
      <c r="F27" s="221"/>
      <c r="G27" s="219"/>
      <c r="H27" s="219"/>
    </row>
    <row r="28" spans="3:8" s="215" customFormat="1" ht="18.75">
      <c r="C28" s="219"/>
      <c r="D28" s="219"/>
      <c r="G28" s="219"/>
      <c r="H28" s="219"/>
    </row>
    <row r="29" spans="3:8" s="215" customFormat="1" ht="18.75">
      <c r="C29" s="219"/>
      <c r="D29" s="219"/>
      <c r="F29" s="223"/>
      <c r="G29" s="219"/>
      <c r="H29" s="219"/>
    </row>
    <row r="30" spans="3:8" s="215" customFormat="1" ht="18.75">
      <c r="C30" s="219"/>
      <c r="D30" s="219"/>
      <c r="F30" s="223"/>
      <c r="G30" s="219"/>
      <c r="H30" s="219"/>
    </row>
  </sheetData>
  <sheetProtection/>
  <mergeCells count="3">
    <mergeCell ref="A1:H1"/>
    <mergeCell ref="A2:H2"/>
    <mergeCell ref="A3:H3"/>
  </mergeCells>
  <printOptions/>
  <pageMargins left="0.3937007874015748" right="0.15748031496062992" top="0.7874015748031497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28">
      <selection activeCell="C30" sqref="C30:D37"/>
    </sheetView>
  </sheetViews>
  <sheetFormatPr defaultColWidth="9.140625" defaultRowHeight="21.75"/>
  <cols>
    <col min="1" max="1" width="3.140625" style="649" customWidth="1"/>
    <col min="2" max="2" width="3.7109375" style="649" customWidth="1"/>
    <col min="3" max="3" width="40.421875" style="216" customWidth="1"/>
    <col min="4" max="4" width="18.00390625" style="216" customWidth="1"/>
    <col min="5" max="5" width="20.00390625" style="218" customWidth="1"/>
    <col min="6" max="6" width="9.7109375" style="216" customWidth="1"/>
    <col min="7" max="16384" width="9.140625" style="216" customWidth="1"/>
  </cols>
  <sheetData>
    <row r="1" ht="19.5" customHeight="1">
      <c r="E1" s="650" t="s">
        <v>67</v>
      </c>
    </row>
    <row r="2" spans="1:5" ht="21.75" customHeight="1">
      <c r="A2" s="819" t="s">
        <v>216</v>
      </c>
      <c r="B2" s="819"/>
      <c r="C2" s="819"/>
      <c r="D2" s="819"/>
      <c r="E2" s="819"/>
    </row>
    <row r="3" spans="1:5" ht="21.75" customHeight="1">
      <c r="A3" s="819" t="s">
        <v>3</v>
      </c>
      <c r="B3" s="819"/>
      <c r="C3" s="819"/>
      <c r="D3" s="819"/>
      <c r="E3" s="819"/>
    </row>
    <row r="4" spans="1:5" ht="21">
      <c r="A4" s="819" t="s">
        <v>551</v>
      </c>
      <c r="B4" s="819"/>
      <c r="C4" s="819"/>
      <c r="D4" s="819"/>
      <c r="E4" s="819"/>
    </row>
    <row r="5" spans="1:5" ht="2.25" customHeight="1">
      <c r="A5" s="264"/>
      <c r="B5" s="264"/>
      <c r="C5" s="264"/>
      <c r="D5" s="264"/>
      <c r="E5" s="264"/>
    </row>
    <row r="6" spans="1:5" s="222" customFormat="1" ht="15.75" customHeight="1">
      <c r="A6" s="651"/>
      <c r="B6" s="652"/>
      <c r="C6" s="821" t="s">
        <v>4</v>
      </c>
      <c r="D6" s="822"/>
      <c r="E6" s="825" t="s">
        <v>5</v>
      </c>
    </row>
    <row r="7" spans="1:5" s="222" customFormat="1" ht="15.75" customHeight="1">
      <c r="A7" s="653"/>
      <c r="B7" s="654"/>
      <c r="C7" s="823"/>
      <c r="D7" s="824"/>
      <c r="E7" s="826"/>
    </row>
    <row r="8" spans="1:5" ht="21" customHeight="1">
      <c r="A8" s="655" t="s">
        <v>6</v>
      </c>
      <c r="B8" s="656" t="s">
        <v>8</v>
      </c>
      <c r="C8" s="657"/>
      <c r="D8" s="592"/>
      <c r="E8" s="658"/>
    </row>
    <row r="9" spans="1:5" ht="23.25" customHeight="1">
      <c r="A9" s="659"/>
      <c r="B9" s="660" t="s">
        <v>24</v>
      </c>
      <c r="C9" s="496" t="s">
        <v>208</v>
      </c>
      <c r="D9" s="186"/>
      <c r="E9" s="188">
        <f>3189000</f>
        <v>3189000</v>
      </c>
    </row>
    <row r="10" spans="1:5" ht="23.25" customHeight="1">
      <c r="A10" s="659"/>
      <c r="B10" s="660" t="s">
        <v>25</v>
      </c>
      <c r="C10" s="496" t="s">
        <v>209</v>
      </c>
      <c r="D10" s="186"/>
      <c r="E10" s="188">
        <v>0</v>
      </c>
    </row>
    <row r="11" spans="1:5" ht="23.25" customHeight="1">
      <c r="A11" s="659"/>
      <c r="B11" s="660" t="s">
        <v>26</v>
      </c>
      <c r="C11" s="496" t="s">
        <v>210</v>
      </c>
      <c r="D11" s="186"/>
      <c r="E11" s="188">
        <f>449500</f>
        <v>449500</v>
      </c>
    </row>
    <row r="12" spans="1:5" ht="23.25" customHeight="1">
      <c r="A12" s="659"/>
      <c r="B12" s="660" t="s">
        <v>64</v>
      </c>
      <c r="C12" s="496" t="s">
        <v>72</v>
      </c>
      <c r="D12" s="186"/>
      <c r="E12" s="188">
        <f>118000</f>
        <v>118000</v>
      </c>
    </row>
    <row r="13" spans="1:5" ht="23.25" customHeight="1">
      <c r="A13" s="659"/>
      <c r="B13" s="660" t="s">
        <v>65</v>
      </c>
      <c r="C13" s="496" t="s">
        <v>211</v>
      </c>
      <c r="D13" s="186"/>
      <c r="E13" s="188">
        <f>4376800</f>
        <v>4376800</v>
      </c>
    </row>
    <row r="14" spans="1:5" ht="23.25" customHeight="1">
      <c r="A14" s="659"/>
      <c r="B14" s="660" t="s">
        <v>66</v>
      </c>
      <c r="C14" s="496" t="s">
        <v>71</v>
      </c>
      <c r="D14" s="186"/>
      <c r="E14" s="188">
        <f>0</f>
        <v>0</v>
      </c>
    </row>
    <row r="15" spans="1:5" ht="23.25" customHeight="1">
      <c r="A15" s="659"/>
      <c r="B15" s="660"/>
      <c r="C15" s="496"/>
      <c r="D15" s="186"/>
      <c r="E15" s="188"/>
    </row>
    <row r="16" spans="1:5" ht="23.25" customHeight="1">
      <c r="A16" s="661" t="s">
        <v>7</v>
      </c>
      <c r="B16" s="662" t="s">
        <v>9</v>
      </c>
      <c r="C16" s="496"/>
      <c r="D16" s="186"/>
      <c r="E16" s="188"/>
    </row>
    <row r="17" spans="1:5" ht="23.25" customHeight="1">
      <c r="A17" s="659"/>
      <c r="B17" s="660" t="s">
        <v>24</v>
      </c>
      <c r="C17" s="496" t="s">
        <v>32</v>
      </c>
      <c r="D17" s="186"/>
      <c r="E17" s="188">
        <v>2165000</v>
      </c>
    </row>
    <row r="18" spans="1:5" ht="23.25" customHeight="1">
      <c r="A18" s="659"/>
      <c r="B18" s="660" t="s">
        <v>25</v>
      </c>
      <c r="C18" s="496" t="s">
        <v>27</v>
      </c>
      <c r="D18" s="186"/>
      <c r="E18" s="188"/>
    </row>
    <row r="19" spans="1:5" ht="23.25" customHeight="1">
      <c r="A19" s="659"/>
      <c r="B19" s="660"/>
      <c r="C19" s="496" t="s">
        <v>212</v>
      </c>
      <c r="D19" s="186"/>
      <c r="E19" s="188">
        <v>38000</v>
      </c>
    </row>
    <row r="20" spans="1:5" ht="23.25" customHeight="1">
      <c r="A20" s="661"/>
      <c r="B20" s="663"/>
      <c r="C20" s="496" t="s">
        <v>184</v>
      </c>
      <c r="D20" s="186"/>
      <c r="E20" s="188">
        <v>120000</v>
      </c>
    </row>
    <row r="21" spans="1:5" ht="23.25" customHeight="1">
      <c r="A21" s="659"/>
      <c r="B21" s="660"/>
      <c r="C21" s="496" t="s">
        <v>213</v>
      </c>
      <c r="D21" s="186"/>
      <c r="E21" s="188">
        <v>206320</v>
      </c>
    </row>
    <row r="22" spans="1:5" ht="23.25" customHeight="1">
      <c r="A22" s="659"/>
      <c r="B22" s="660"/>
      <c r="C22" s="496" t="s">
        <v>214</v>
      </c>
      <c r="D22" s="186"/>
      <c r="E22" s="188">
        <v>54800</v>
      </c>
    </row>
    <row r="23" spans="1:5" ht="23.25" customHeight="1">
      <c r="A23" s="659"/>
      <c r="B23" s="660"/>
      <c r="C23" s="496" t="s">
        <v>215</v>
      </c>
      <c r="D23" s="186"/>
      <c r="E23" s="188">
        <v>5000</v>
      </c>
    </row>
    <row r="24" spans="1:5" ht="23.25" customHeight="1">
      <c r="A24" s="659"/>
      <c r="B24" s="660"/>
      <c r="C24" s="496" t="s">
        <v>202</v>
      </c>
      <c r="D24" s="186"/>
      <c r="E24" s="188">
        <v>199030</v>
      </c>
    </row>
    <row r="25" spans="1:5" ht="21">
      <c r="A25" s="659"/>
      <c r="B25" s="660" t="s">
        <v>26</v>
      </c>
      <c r="C25" s="496" t="s">
        <v>44</v>
      </c>
      <c r="D25" s="186"/>
      <c r="E25" s="188">
        <v>3228944</v>
      </c>
    </row>
    <row r="26" spans="1:5" ht="21">
      <c r="A26" s="659"/>
      <c r="B26" s="660"/>
      <c r="C26" s="496"/>
      <c r="D26" s="186"/>
      <c r="E26" s="188"/>
    </row>
    <row r="27" spans="1:5" ht="21">
      <c r="A27" s="653"/>
      <c r="B27" s="654"/>
      <c r="C27" s="664"/>
      <c r="D27" s="665"/>
      <c r="E27" s="666"/>
    </row>
    <row r="28" spans="1:5" ht="27" customHeight="1" thickBot="1">
      <c r="A28" s="667"/>
      <c r="B28" s="667"/>
      <c r="C28" s="657"/>
      <c r="D28" s="668" t="s">
        <v>13</v>
      </c>
      <c r="E28" s="669">
        <f>SUM(E9:E27)</f>
        <v>14150394</v>
      </c>
    </row>
    <row r="29" spans="1:5" ht="35.25" customHeight="1" thickTop="1">
      <c r="A29" s="670"/>
      <c r="B29" s="670"/>
      <c r="C29" s="183"/>
      <c r="D29" s="671"/>
      <c r="E29" s="672"/>
    </row>
    <row r="30" spans="1:8" s="183" customFormat="1" ht="24" customHeight="1">
      <c r="A30" s="216"/>
      <c r="B30" s="216"/>
      <c r="C30" s="673"/>
      <c r="D30" s="496"/>
      <c r="E30" s="496"/>
      <c r="H30" s="216"/>
    </row>
    <row r="31" spans="1:10" s="183" customFormat="1" ht="24" customHeight="1">
      <c r="A31" s="216"/>
      <c r="B31" s="216"/>
      <c r="C31" s="673"/>
      <c r="D31" s="496"/>
      <c r="E31" s="496"/>
      <c r="H31" s="496"/>
      <c r="I31" s="216"/>
      <c r="J31" s="216"/>
    </row>
    <row r="32" spans="1:10" s="183" customFormat="1" ht="18" customHeight="1">
      <c r="A32" s="216"/>
      <c r="B32" s="216"/>
      <c r="C32" s="673"/>
      <c r="D32" s="496"/>
      <c r="E32" s="496"/>
      <c r="H32" s="496"/>
      <c r="I32" s="216"/>
      <c r="J32" s="216"/>
    </row>
    <row r="33" spans="3:10" s="183" customFormat="1" ht="24" customHeight="1">
      <c r="C33" s="673"/>
      <c r="D33" s="496"/>
      <c r="E33" s="496"/>
      <c r="H33" s="496"/>
      <c r="I33" s="216"/>
      <c r="J33" s="496"/>
    </row>
    <row r="34" spans="3:10" s="183" customFormat="1" ht="24" customHeight="1">
      <c r="C34" s="673"/>
      <c r="D34" s="496"/>
      <c r="E34" s="496"/>
      <c r="H34" s="496"/>
      <c r="I34" s="216"/>
      <c r="J34" s="496"/>
    </row>
    <row r="35" spans="3:10" s="183" customFormat="1" ht="18" customHeight="1">
      <c r="C35" s="673"/>
      <c r="D35" s="496"/>
      <c r="E35" s="496"/>
      <c r="H35" s="496"/>
      <c r="I35" s="216"/>
      <c r="J35" s="496"/>
    </row>
    <row r="36" spans="3:10" s="183" customFormat="1" ht="24" customHeight="1">
      <c r="C36" s="673"/>
      <c r="D36" s="496"/>
      <c r="E36" s="496"/>
      <c r="H36" s="496"/>
      <c r="I36" s="216"/>
      <c r="J36" s="496"/>
    </row>
    <row r="37" ht="21">
      <c r="C37" s="673"/>
    </row>
  </sheetData>
  <sheetProtection/>
  <mergeCells count="5">
    <mergeCell ref="A2:E2"/>
    <mergeCell ref="A3:E3"/>
    <mergeCell ref="A4:E4"/>
    <mergeCell ref="C6:D7"/>
    <mergeCell ref="E6:E7"/>
  </mergeCells>
  <printOptions/>
  <pageMargins left="1.1023622047244095" right="0.15748031496062992" top="0.3937007874015748" bottom="0.1968503937007874" header="0.2362204724409449" footer="0.1574803149606299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9">
      <selection activeCell="F30" sqref="A1:F30"/>
    </sheetView>
  </sheetViews>
  <sheetFormatPr defaultColWidth="9.140625" defaultRowHeight="21.75"/>
  <cols>
    <col min="1" max="1" width="14.00390625" style="12" customWidth="1"/>
    <col min="2" max="2" width="31.8515625" style="12" customWidth="1"/>
    <col min="3" max="3" width="5.7109375" style="12" customWidth="1"/>
    <col min="4" max="4" width="11.8515625" style="12" customWidth="1"/>
    <col min="5" max="5" width="24.140625" style="12" customWidth="1"/>
    <col min="6" max="6" width="18.57421875" style="13" customWidth="1"/>
    <col min="7" max="7" width="20.28125" style="12" customWidth="1"/>
    <col min="8" max="8" width="15.7109375" style="12" customWidth="1"/>
    <col min="9" max="16384" width="9.140625" style="12" customWidth="1"/>
  </cols>
  <sheetData>
    <row r="1" spans="1:7" ht="23.25">
      <c r="A1" s="216"/>
      <c r="B1" s="674" t="s">
        <v>14</v>
      </c>
      <c r="C1" s="674"/>
      <c r="D1" s="674"/>
      <c r="E1" s="264"/>
      <c r="F1" s="264"/>
      <c r="G1" s="29"/>
    </row>
    <row r="2" spans="1:7" ht="23.25">
      <c r="A2" s="216"/>
      <c r="B2" s="674"/>
      <c r="C2" s="674"/>
      <c r="D2" s="674"/>
      <c r="E2" s="264"/>
      <c r="F2" s="264"/>
      <c r="G2" s="29"/>
    </row>
    <row r="3" spans="1:7" ht="23.25">
      <c r="A3" s="675" t="s">
        <v>643</v>
      </c>
      <c r="B3" s="264"/>
      <c r="C3" s="264"/>
      <c r="D3" s="264"/>
      <c r="E3" s="264"/>
      <c r="F3" s="264"/>
      <c r="G3" s="29"/>
    </row>
    <row r="4" spans="1:7" ht="23.25">
      <c r="A4" s="674"/>
      <c r="B4" s="264"/>
      <c r="C4" s="264"/>
      <c r="D4" s="264"/>
      <c r="E4" s="264"/>
      <c r="F4" s="264"/>
      <c r="G4" s="29"/>
    </row>
    <row r="5" spans="1:6" ht="23.25">
      <c r="A5" s="216" t="s">
        <v>52</v>
      </c>
      <c r="B5" s="216"/>
      <c r="C5" s="216"/>
      <c r="D5" s="216"/>
      <c r="E5" s="216"/>
      <c r="F5" s="676">
        <v>0</v>
      </c>
    </row>
    <row r="6" spans="1:6" ht="23.25">
      <c r="A6" s="216" t="s">
        <v>10</v>
      </c>
      <c r="B6" s="216" t="s">
        <v>46</v>
      </c>
      <c r="C6" s="216"/>
      <c r="D6" s="216" t="s">
        <v>95</v>
      </c>
      <c r="E6" s="500" t="s">
        <v>653</v>
      </c>
      <c r="F6" s="545">
        <v>4630099.5</v>
      </c>
    </row>
    <row r="7" spans="1:6" ht="23.25">
      <c r="A7" s="216"/>
      <c r="B7" s="216" t="s">
        <v>46</v>
      </c>
      <c r="C7" s="216"/>
      <c r="D7" s="216" t="s">
        <v>95</v>
      </c>
      <c r="E7" s="500" t="s">
        <v>654</v>
      </c>
      <c r="F7" s="218">
        <v>166319.67</v>
      </c>
    </row>
    <row r="8" spans="1:6" ht="23.25">
      <c r="A8" s="216"/>
      <c r="B8" s="216" t="s">
        <v>45</v>
      </c>
      <c r="C8" s="216"/>
      <c r="D8" s="216" t="s">
        <v>96</v>
      </c>
      <c r="E8" s="500" t="s">
        <v>326</v>
      </c>
      <c r="F8" s="218">
        <v>2069436.15</v>
      </c>
    </row>
    <row r="9" spans="1:7" ht="30" customHeight="1">
      <c r="A9" s="216"/>
      <c r="B9" s="216" t="s">
        <v>94</v>
      </c>
      <c r="C9" s="216"/>
      <c r="D9" s="216" t="s">
        <v>95</v>
      </c>
      <c r="E9" s="216" t="s">
        <v>327</v>
      </c>
      <c r="F9" s="664">
        <v>3921949.93</v>
      </c>
      <c r="G9" s="13"/>
    </row>
    <row r="10" spans="1:6" ht="29.25" customHeight="1" thickBot="1">
      <c r="A10" s="216"/>
      <c r="B10" s="216"/>
      <c r="C10" s="216"/>
      <c r="D10" s="216"/>
      <c r="E10" s="216" t="s">
        <v>0</v>
      </c>
      <c r="F10" s="677">
        <f>SUM(F5:F9)</f>
        <v>10787805.25</v>
      </c>
    </row>
    <row r="11" spans="1:6" ht="29.25" customHeight="1" thickTop="1">
      <c r="A11" s="216"/>
      <c r="B11" s="216"/>
      <c r="C11" s="216"/>
      <c r="D11" s="216"/>
      <c r="E11" s="216"/>
      <c r="F11" s="678"/>
    </row>
    <row r="12" spans="1:8" s="14" customFormat="1" ht="23.25">
      <c r="A12" s="543" t="s">
        <v>644</v>
      </c>
      <c r="B12" s="264"/>
      <c r="C12" s="205"/>
      <c r="D12" s="205"/>
      <c r="E12" s="205"/>
      <c r="F12" s="205"/>
      <c r="H12" s="30"/>
    </row>
    <row r="13" spans="1:8" s="14" customFormat="1" ht="23.25">
      <c r="A13" s="205"/>
      <c r="B13" s="674" t="s">
        <v>92</v>
      </c>
      <c r="C13" s="205"/>
      <c r="D13" s="205"/>
      <c r="E13" s="205"/>
      <c r="F13" s="205"/>
      <c r="H13" s="30"/>
    </row>
    <row r="14" spans="1:6" ht="24.75" customHeight="1">
      <c r="A14" s="216"/>
      <c r="B14" s="216" t="s">
        <v>59</v>
      </c>
      <c r="C14" s="216"/>
      <c r="D14" s="216"/>
      <c r="E14" s="216"/>
      <c r="F14" s="218">
        <v>20972.64</v>
      </c>
    </row>
    <row r="15" spans="1:6" ht="24.75" customHeight="1">
      <c r="A15" s="216"/>
      <c r="B15" s="216" t="s">
        <v>47</v>
      </c>
      <c r="C15" s="216"/>
      <c r="D15" s="216"/>
      <c r="E15" s="216"/>
      <c r="F15" s="218">
        <v>316685</v>
      </c>
    </row>
    <row r="16" spans="1:6" ht="24.75" customHeight="1">
      <c r="A16" s="216"/>
      <c r="B16" s="216" t="s">
        <v>30</v>
      </c>
      <c r="C16" s="216"/>
      <c r="D16" s="216"/>
      <c r="E16" s="216"/>
      <c r="F16" s="218">
        <v>2980.55</v>
      </c>
    </row>
    <row r="17" spans="1:6" ht="24.75" customHeight="1">
      <c r="A17" s="216"/>
      <c r="B17" s="216" t="s">
        <v>328</v>
      </c>
      <c r="C17" s="216"/>
      <c r="D17" s="216"/>
      <c r="E17" s="216"/>
      <c r="F17" s="218">
        <v>3576.66</v>
      </c>
    </row>
    <row r="18" spans="1:6" ht="24.75" customHeight="1">
      <c r="A18" s="216"/>
      <c r="B18" s="216" t="s">
        <v>656</v>
      </c>
      <c r="C18" s="216"/>
      <c r="D18" s="216"/>
      <c r="E18" s="216"/>
      <c r="F18" s="218">
        <v>76989</v>
      </c>
    </row>
    <row r="19" spans="1:6" ht="24.75" customHeight="1">
      <c r="A19" s="216"/>
      <c r="B19" s="216" t="s">
        <v>329</v>
      </c>
      <c r="C19" s="216"/>
      <c r="D19" s="216"/>
      <c r="E19" s="216"/>
      <c r="F19" s="218">
        <v>84600</v>
      </c>
    </row>
    <row r="20" spans="1:6" ht="31.5" customHeight="1">
      <c r="A20" s="216"/>
      <c r="B20" s="222"/>
      <c r="C20" s="216"/>
      <c r="D20" s="216"/>
      <c r="E20" s="216" t="s">
        <v>0</v>
      </c>
      <c r="F20" s="683">
        <f>SUM(F14:F19)</f>
        <v>505803.85</v>
      </c>
    </row>
    <row r="21" spans="1:8" ht="23.25">
      <c r="A21" s="216"/>
      <c r="B21" s="222"/>
      <c r="C21" s="216"/>
      <c r="D21" s="216"/>
      <c r="E21" s="216"/>
      <c r="F21" s="216"/>
      <c r="H21" s="13"/>
    </row>
    <row r="22" spans="1:6" ht="23.25">
      <c r="A22" s="543" t="s">
        <v>655</v>
      </c>
      <c r="B22" s="205" t="s">
        <v>650</v>
      </c>
      <c r="C22" s="216"/>
      <c r="D22" s="216"/>
      <c r="E22" s="216"/>
      <c r="F22" s="218"/>
    </row>
    <row r="23" spans="1:6" ht="23.25">
      <c r="A23" s="216"/>
      <c r="B23" s="216" t="s">
        <v>646</v>
      </c>
      <c r="C23" s="216"/>
      <c r="D23" s="216"/>
      <c r="E23" s="218"/>
      <c r="F23" s="218">
        <v>330219.67</v>
      </c>
    </row>
    <row r="24" spans="1:6" ht="23.25">
      <c r="A24" s="543"/>
      <c r="B24" s="216"/>
      <c r="C24" s="216"/>
      <c r="D24" s="216"/>
      <c r="E24" s="218"/>
      <c r="F24" s="218"/>
    </row>
    <row r="25" spans="1:6" ht="23.25">
      <c r="A25" s="543"/>
      <c r="B25" s="216"/>
      <c r="C25" s="216"/>
      <c r="D25" s="216"/>
      <c r="E25" s="218"/>
      <c r="F25" s="218"/>
    </row>
    <row r="26" spans="1:6" ht="23.25">
      <c r="A26" s="543"/>
      <c r="B26" s="216"/>
      <c r="C26" s="216"/>
      <c r="D26" s="216"/>
      <c r="E26" s="218"/>
      <c r="F26" s="218"/>
    </row>
    <row r="27" spans="1:6" ht="23.25">
      <c r="A27" s="543"/>
      <c r="B27" s="216"/>
      <c r="C27" s="216"/>
      <c r="D27" s="216"/>
      <c r="E27" s="218"/>
      <c r="F27" s="218"/>
    </row>
    <row r="28" spans="1:6" ht="23.25">
      <c r="A28" s="216"/>
      <c r="B28" s="216"/>
      <c r="C28" s="216"/>
      <c r="D28" s="216"/>
      <c r="E28" s="216"/>
      <c r="F28" s="682">
        <f>SUM(F23:F27)</f>
        <v>330219.67</v>
      </c>
    </row>
    <row r="29" spans="1:6" ht="30" customHeight="1" thickBot="1">
      <c r="A29" s="216"/>
      <c r="B29" s="216"/>
      <c r="C29" s="216"/>
      <c r="D29" s="216" t="s">
        <v>0</v>
      </c>
      <c r="E29" s="216"/>
      <c r="F29" s="681">
        <f>F20+F28</f>
        <v>836023.52</v>
      </c>
    </row>
    <row r="30" ht="24" thickTop="1"/>
    <row r="31" spans="2:3" ht="23.25">
      <c r="B31" s="674"/>
      <c r="C31" s="674"/>
    </row>
    <row r="32" spans="1:6" ht="23.25">
      <c r="A32" s="543"/>
      <c r="B32" s="205"/>
      <c r="C32" s="216"/>
      <c r="D32" s="216"/>
      <c r="E32" s="216"/>
      <c r="F32" s="218"/>
    </row>
    <row r="33" spans="1:6" ht="23.25">
      <c r="A33" s="216"/>
      <c r="B33" s="216"/>
      <c r="C33" s="216"/>
      <c r="D33" s="216"/>
      <c r="E33" s="218"/>
      <c r="F33" s="218"/>
    </row>
    <row r="34" spans="1:6" ht="23.25">
      <c r="A34" s="543"/>
      <c r="B34" s="216"/>
      <c r="C34" s="216"/>
      <c r="D34" s="216"/>
      <c r="E34" s="218"/>
      <c r="F34" s="218"/>
    </row>
    <row r="35" spans="1:6" ht="23.25">
      <c r="A35" s="543"/>
      <c r="B35" s="216"/>
      <c r="C35" s="216"/>
      <c r="D35" s="216"/>
      <c r="E35" s="218"/>
      <c r="F35" s="218"/>
    </row>
    <row r="36" spans="1:6" ht="23.25">
      <c r="A36" s="543"/>
      <c r="B36" s="216"/>
      <c r="C36" s="216"/>
      <c r="D36" s="216"/>
      <c r="E36" s="218"/>
      <c r="F36" s="218"/>
    </row>
    <row r="37" spans="1:6" ht="23.25">
      <c r="A37" s="543"/>
      <c r="B37" s="216"/>
      <c r="C37" s="216"/>
      <c r="D37" s="216"/>
      <c r="E37" s="218"/>
      <c r="F37" s="218"/>
    </row>
  </sheetData>
  <sheetProtection/>
  <printOptions horizontalCentered="1"/>
  <pageMargins left="0.31" right="0.0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5" sqref="A1:D15"/>
    </sheetView>
  </sheetViews>
  <sheetFormatPr defaultColWidth="9.140625" defaultRowHeight="21.75"/>
  <cols>
    <col min="1" max="1" width="7.7109375" style="0" customWidth="1"/>
    <col min="2" max="2" width="53.140625" style="0" customWidth="1"/>
    <col min="3" max="3" width="16.140625" style="0" customWidth="1"/>
    <col min="4" max="4" width="31.00390625" style="0" customWidth="1"/>
  </cols>
  <sheetData>
    <row r="1" spans="1:4" ht="23.25">
      <c r="A1" s="215"/>
      <c r="B1" s="215"/>
      <c r="C1" s="215"/>
      <c r="D1" s="205" t="s">
        <v>661</v>
      </c>
    </row>
    <row r="2" spans="1:4" ht="23.25">
      <c r="A2" s="819" t="s">
        <v>216</v>
      </c>
      <c r="B2" s="819"/>
      <c r="C2" s="819"/>
      <c r="D2" s="819"/>
    </row>
    <row r="3" spans="1:4" ht="23.25">
      <c r="A3" s="819" t="s">
        <v>206</v>
      </c>
      <c r="B3" s="819"/>
      <c r="C3" s="819"/>
      <c r="D3" s="819"/>
    </row>
    <row r="4" spans="1:4" ht="23.25">
      <c r="A4" s="819" t="s">
        <v>652</v>
      </c>
      <c r="B4" s="819"/>
      <c r="C4" s="819"/>
      <c r="D4" s="819"/>
    </row>
    <row r="5" spans="1:4" ht="23.25">
      <c r="A5" s="222"/>
      <c r="B5" s="500"/>
      <c r="C5" s="222"/>
      <c r="D5" s="222"/>
    </row>
    <row r="6" spans="1:4" ht="23.25">
      <c r="A6" s="180" t="s">
        <v>34</v>
      </c>
      <c r="B6" s="501" t="s">
        <v>35</v>
      </c>
      <c r="C6" s="180" t="s">
        <v>19</v>
      </c>
      <c r="D6" s="180" t="s">
        <v>17</v>
      </c>
    </row>
    <row r="7" spans="1:4" ht="23.25">
      <c r="A7" s="502">
        <v>1</v>
      </c>
      <c r="B7" s="504" t="s">
        <v>651</v>
      </c>
      <c r="C7" s="679">
        <v>71000</v>
      </c>
      <c r="D7" s="504"/>
    </row>
    <row r="8" spans="1:4" ht="23.25">
      <c r="A8" s="505">
        <v>2</v>
      </c>
      <c r="B8" s="508" t="s">
        <v>647</v>
      </c>
      <c r="C8" s="680">
        <v>42000</v>
      </c>
      <c r="D8" s="508"/>
    </row>
    <row r="9" spans="1:4" ht="23.25">
      <c r="A9" s="505">
        <v>3</v>
      </c>
      <c r="B9" s="508" t="s">
        <v>645</v>
      </c>
      <c r="C9" s="680">
        <v>24000</v>
      </c>
      <c r="D9" s="509"/>
    </row>
    <row r="10" spans="1:4" ht="23.25">
      <c r="A10" s="505">
        <v>4</v>
      </c>
      <c r="B10" s="508" t="s">
        <v>645</v>
      </c>
      <c r="C10" s="680">
        <v>14400</v>
      </c>
      <c r="D10" s="508"/>
    </row>
    <row r="11" spans="1:4" ht="23.25">
      <c r="A11" s="505">
        <v>5</v>
      </c>
      <c r="B11" s="508" t="s">
        <v>645</v>
      </c>
      <c r="C11" s="680">
        <v>12500</v>
      </c>
      <c r="D11" s="508"/>
    </row>
    <row r="12" spans="1:4" ht="23.25">
      <c r="A12" s="505"/>
      <c r="B12" s="506"/>
      <c r="C12" s="507"/>
      <c r="D12" s="508"/>
    </row>
    <row r="13" spans="1:4" ht="23.25">
      <c r="A13" s="505"/>
      <c r="B13" s="506"/>
      <c r="C13" s="507"/>
      <c r="D13" s="508"/>
    </row>
    <row r="14" spans="1:4" ht="23.25">
      <c r="A14" s="510"/>
      <c r="B14" s="511" t="s">
        <v>0</v>
      </c>
      <c r="C14" s="512">
        <f>SUM(C7:C13)</f>
        <v>163900</v>
      </c>
      <c r="D14" s="513"/>
    </row>
    <row r="15" spans="1:4" ht="21.75">
      <c r="A15" s="215"/>
      <c r="B15" s="215"/>
      <c r="C15" s="215"/>
      <c r="D15" s="215"/>
    </row>
  </sheetData>
  <sheetProtection/>
  <mergeCells count="3">
    <mergeCell ref="A2:D2"/>
    <mergeCell ref="A3:D3"/>
    <mergeCell ref="A4:D4"/>
  </mergeCells>
  <printOptions/>
  <pageMargins left="0.07874015748031496" right="0.0787401574803149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auditor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</dc:creator>
  <cp:keywords/>
  <dc:description/>
  <cp:lastModifiedBy>Miki</cp:lastModifiedBy>
  <cp:lastPrinted>2013-11-04T02:25:58Z</cp:lastPrinted>
  <dcterms:created xsi:type="dcterms:W3CDTF">2001-10-24T08:31:02Z</dcterms:created>
  <dcterms:modified xsi:type="dcterms:W3CDTF">2014-02-14T06:28:14Z</dcterms:modified>
  <cp:category/>
  <cp:version/>
  <cp:contentType/>
  <cp:contentStatus/>
</cp:coreProperties>
</file>